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VNWPIPFIL04\Depts$\GTO_SSO_FUNDSERVICES_GSSCKL\10. CLIENT PORTFOLIO-VN\2.02 TCEF\2021\6. Jun\HALF YEAR\FMS\"/>
    </mc:Choice>
  </mc:AlternateContent>
  <xr:revisionPtr revIDLastSave="0" documentId="13_ncr:1_{74AFC415-4F96-4603-9EFE-E73BA45044EA}" xr6:coauthVersionLast="45" xr6:coauthVersionMax="45" xr10:uidLastSave="{00000000-0000-0000-0000-000000000000}"/>
  <bookViews>
    <workbookView xWindow="-110" yWindow="-110" windowWidth="19420" windowHeight="10420" firstSheet="2" activeTab="5" xr2:uid="{00000000-000D-0000-FFFF-FFFF00000000}"/>
  </bookViews>
  <sheets>
    <sheet name="Tong quat" sheetId="1" r:id="rId1"/>
    <sheet name="BCThuNhap_06203" sheetId="2" r:id="rId2"/>
    <sheet name="BCTinhHinhTaiChinh_06105" sheetId="3" r:id="rId3"/>
    <sheet name="BCLCTT_06106" sheetId="4" r:id="rId4"/>
    <sheet name="GTTSRong_06107" sheetId="5" r:id="rId5"/>
    <sheet name="BCDMDT_06108" sheetId="6" r:id="rId6"/>
    <sheet name="BCLCGT_06262" sheetId="7" r:id="rId7"/>
    <sheet name="SheetHidden"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8" l="1"/>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300-000001000000}">
      <text>
        <r>
          <rPr>
            <sz val="10"/>
            <rFont val="Arial"/>
            <family val="2"/>
          </rPr>
          <t>Ô chỉ tiêu có định dạng ký tự</t>
        </r>
      </text>
    </comment>
    <comment ref="D2" authorId="0" shapeId="0" xr:uid="{00000000-0006-0000-0300-000002000000}">
      <text>
        <r>
          <rPr>
            <sz val="10"/>
            <rFont val="Arial"/>
            <family val="2"/>
          </rPr>
          <t>Ô chỉ tiêu có định dạng số. Đơn vị tính x 1 (hoặc %)</t>
        </r>
      </text>
    </comment>
    <comment ref="E2" authorId="0" shapeId="0" xr:uid="{00000000-0006-0000-0300-000003000000}">
      <text>
        <r>
          <rPr>
            <sz val="10"/>
            <rFont val="Arial"/>
            <family val="2"/>
          </rPr>
          <t>Ô chỉ tiêu có định dạng số. Đơn vị tính x 1 (hoặc %)</t>
        </r>
      </text>
    </comment>
    <comment ref="C3" authorId="0" shapeId="0" xr:uid="{00000000-0006-0000-0300-000004000000}">
      <text>
        <r>
          <rPr>
            <sz val="10"/>
            <rFont val="Arial"/>
            <family val="2"/>
          </rPr>
          <t>Ô chỉ tiêu có định dạng ký tự</t>
        </r>
      </text>
    </comment>
    <comment ref="D3" authorId="0" shapeId="0" xr:uid="{00000000-0006-0000-0300-000005000000}">
      <text>
        <r>
          <rPr>
            <sz val="10"/>
            <rFont val="Arial"/>
            <family val="2"/>
          </rPr>
          <t>Ô chỉ tiêu có định dạng số. Đơn vị tính x 1 (hoặc %)</t>
        </r>
      </text>
    </comment>
    <comment ref="E3" authorId="0" shapeId="0" xr:uid="{00000000-0006-0000-0300-000006000000}">
      <text>
        <r>
          <rPr>
            <sz val="10"/>
            <rFont val="Arial"/>
            <family val="2"/>
          </rPr>
          <t>Ô chỉ tiêu có định dạng số. Đơn vị tính x 1 (hoặc %)</t>
        </r>
      </text>
    </comment>
    <comment ref="C4" authorId="0" shapeId="0" xr:uid="{00000000-0006-0000-0300-000007000000}">
      <text>
        <r>
          <rPr>
            <sz val="10"/>
            <rFont val="Arial"/>
            <family val="2"/>
          </rPr>
          <t>Ô chỉ tiêu có định dạng ký tự</t>
        </r>
      </text>
    </comment>
    <comment ref="D4" authorId="0" shapeId="0" xr:uid="{00000000-0006-0000-0300-000008000000}">
      <text>
        <r>
          <rPr>
            <sz val="10"/>
            <rFont val="Arial"/>
            <family val="2"/>
          </rPr>
          <t>Ô chỉ tiêu có định dạng số. Đơn vị tính x 1 (hoặc %)</t>
        </r>
      </text>
    </comment>
    <comment ref="E4" authorId="0" shapeId="0" xr:uid="{00000000-0006-0000-0300-000009000000}">
      <text>
        <r>
          <rPr>
            <sz val="10"/>
            <rFont val="Arial"/>
            <family val="2"/>
          </rPr>
          <t>Ô chỉ tiêu có định dạng số. Đơn vị tính x 1 (hoặc %)</t>
        </r>
      </text>
    </comment>
    <comment ref="C5" authorId="0" shapeId="0" xr:uid="{00000000-0006-0000-0300-00000A000000}">
      <text>
        <r>
          <rPr>
            <sz val="10"/>
            <rFont val="Arial"/>
            <family val="2"/>
          </rPr>
          <t>Ô chỉ tiêu có định dạng ký tự</t>
        </r>
      </text>
    </comment>
    <comment ref="D5" authorId="0" shapeId="0" xr:uid="{00000000-0006-0000-0300-00000B000000}">
      <text>
        <r>
          <rPr>
            <sz val="10"/>
            <rFont val="Arial"/>
            <family val="2"/>
          </rPr>
          <t>Ô chỉ tiêu có định dạng số. Đơn vị tính x 1 (hoặc %)</t>
        </r>
      </text>
    </comment>
    <comment ref="E5" authorId="0" shapeId="0" xr:uid="{00000000-0006-0000-0300-00000C000000}">
      <text>
        <r>
          <rPr>
            <sz val="10"/>
            <rFont val="Arial"/>
            <family val="2"/>
          </rPr>
          <t>Ô chỉ tiêu có định dạng số. Đơn vị tính x 1 (hoặc %)</t>
        </r>
      </text>
    </comment>
    <comment ref="C6" authorId="0" shapeId="0" xr:uid="{00000000-0006-0000-0300-00000D000000}">
      <text>
        <r>
          <rPr>
            <sz val="10"/>
            <rFont val="Arial"/>
            <family val="2"/>
          </rPr>
          <t>Ô chỉ tiêu có định dạng ký tự</t>
        </r>
      </text>
    </comment>
    <comment ref="D6" authorId="0" shapeId="0" xr:uid="{00000000-0006-0000-0300-00000E000000}">
      <text>
        <r>
          <rPr>
            <sz val="10"/>
            <rFont val="Arial"/>
            <family val="2"/>
          </rPr>
          <t>Ô chỉ tiêu có định dạng số. Đơn vị tính x 1 (hoặc %)</t>
        </r>
      </text>
    </comment>
    <comment ref="E6" authorId="0" shapeId="0" xr:uid="{00000000-0006-0000-0300-00000F000000}">
      <text>
        <r>
          <rPr>
            <sz val="10"/>
            <rFont val="Arial"/>
            <family val="2"/>
          </rPr>
          <t>Ô chỉ tiêu có định dạng số. Đơn vị tính x 1 (hoặc %)</t>
        </r>
      </text>
    </comment>
    <comment ref="C7" authorId="0" shapeId="0" xr:uid="{00000000-0006-0000-0300-000010000000}">
      <text>
        <r>
          <rPr>
            <sz val="10"/>
            <rFont val="Arial"/>
            <family val="2"/>
          </rPr>
          <t>Ô chỉ tiêu có định dạng ký tự</t>
        </r>
      </text>
    </comment>
    <comment ref="D7" authorId="0" shapeId="0" xr:uid="{00000000-0006-0000-0300-000011000000}">
      <text>
        <r>
          <rPr>
            <sz val="10"/>
            <rFont val="Arial"/>
            <family val="2"/>
          </rPr>
          <t>Ô chỉ tiêu có định dạng số. Đơn vị tính x 1 (hoặc %)</t>
        </r>
      </text>
    </comment>
    <comment ref="E7" authorId="0" shapeId="0" xr:uid="{00000000-0006-0000-0300-000012000000}">
      <text>
        <r>
          <rPr>
            <sz val="10"/>
            <rFont val="Arial"/>
            <family val="2"/>
          </rPr>
          <t>Ô chỉ tiêu có định dạng số. Đơn vị tính x 1 (hoặc %)</t>
        </r>
      </text>
    </comment>
    <comment ref="C8" authorId="0" shapeId="0" xr:uid="{00000000-0006-0000-0300-000013000000}">
      <text>
        <r>
          <rPr>
            <sz val="10"/>
            <rFont val="Arial"/>
            <family val="2"/>
          </rPr>
          <t>Ô chỉ tiêu có định dạng ký tự</t>
        </r>
      </text>
    </comment>
    <comment ref="D8" authorId="0" shapeId="0" xr:uid="{00000000-0006-0000-0300-000014000000}">
      <text>
        <r>
          <rPr>
            <sz val="10"/>
            <rFont val="Arial"/>
            <family val="2"/>
          </rPr>
          <t>Ô chỉ tiêu có định dạng số. Đơn vị tính x 1 (hoặc %)</t>
        </r>
      </text>
    </comment>
    <comment ref="E8" authorId="0" shapeId="0" xr:uid="{00000000-0006-0000-0300-000015000000}">
      <text>
        <r>
          <rPr>
            <sz val="10"/>
            <rFont val="Arial"/>
            <family val="2"/>
          </rPr>
          <t>Ô chỉ tiêu có định dạng số. Đơn vị tính x 1 (hoặc %)</t>
        </r>
      </text>
    </comment>
    <comment ref="C9" authorId="0" shapeId="0" xr:uid="{00000000-0006-0000-0300-000016000000}">
      <text>
        <r>
          <rPr>
            <sz val="10"/>
            <rFont val="Arial"/>
            <family val="2"/>
          </rPr>
          <t>Ô chỉ tiêu có định dạng ký tự</t>
        </r>
      </text>
    </comment>
    <comment ref="D9" authorId="0" shapeId="0" xr:uid="{00000000-0006-0000-0300-000017000000}">
      <text>
        <r>
          <rPr>
            <sz val="10"/>
            <rFont val="Arial"/>
            <family val="2"/>
          </rPr>
          <t>Ô chỉ tiêu có định dạng số. Đơn vị tính x 1 (hoặc %)</t>
        </r>
      </text>
    </comment>
    <comment ref="E9" authorId="0" shapeId="0" xr:uid="{00000000-0006-0000-0300-000018000000}">
      <text>
        <r>
          <rPr>
            <sz val="10"/>
            <rFont val="Arial"/>
            <family val="2"/>
          </rPr>
          <t>Ô chỉ tiêu có định dạng số. Đơn vị tính x 1 (hoặc %)</t>
        </r>
      </text>
    </comment>
    <comment ref="C10" authorId="0" shapeId="0" xr:uid="{00000000-0006-0000-0300-000019000000}">
      <text>
        <r>
          <rPr>
            <sz val="10"/>
            <rFont val="Arial"/>
            <family val="2"/>
          </rPr>
          <t>Ô chỉ tiêu có định dạng ký tự</t>
        </r>
      </text>
    </comment>
    <comment ref="D10" authorId="0" shapeId="0" xr:uid="{00000000-0006-0000-0300-00001A000000}">
      <text>
        <r>
          <rPr>
            <sz val="10"/>
            <rFont val="Arial"/>
            <family val="2"/>
          </rPr>
          <t>Ô chỉ tiêu có định dạng số. Đơn vị tính x 1 (hoặc %)</t>
        </r>
      </text>
    </comment>
    <comment ref="E10" authorId="0" shapeId="0" xr:uid="{00000000-0006-0000-0300-00001B000000}">
      <text>
        <r>
          <rPr>
            <sz val="10"/>
            <rFont val="Arial"/>
            <family val="2"/>
          </rPr>
          <t>Ô chỉ tiêu có định dạng số. Đơn vị tính x 1 (hoặc %)</t>
        </r>
      </text>
    </comment>
    <comment ref="C11" authorId="0" shapeId="0" xr:uid="{00000000-0006-0000-0300-00001C000000}">
      <text>
        <r>
          <rPr>
            <sz val="10"/>
            <rFont val="Arial"/>
            <family val="2"/>
          </rPr>
          <t>Ô chỉ tiêu có định dạng ký tự</t>
        </r>
      </text>
    </comment>
    <comment ref="D11" authorId="0" shapeId="0" xr:uid="{00000000-0006-0000-0300-00001D000000}">
      <text>
        <r>
          <rPr>
            <sz val="10"/>
            <rFont val="Arial"/>
            <family val="2"/>
          </rPr>
          <t>Ô chỉ tiêu có định dạng số. Đơn vị tính x 1 (hoặc %)</t>
        </r>
      </text>
    </comment>
    <comment ref="E11" authorId="0" shapeId="0" xr:uid="{00000000-0006-0000-0300-00001E000000}">
      <text>
        <r>
          <rPr>
            <sz val="10"/>
            <rFont val="Arial"/>
            <family val="2"/>
          </rPr>
          <t>Ô chỉ tiêu có định dạng số. Đơn vị tính x 1 (hoặc %)</t>
        </r>
      </text>
    </comment>
    <comment ref="C12" authorId="0" shapeId="0" xr:uid="{00000000-0006-0000-0300-00001F000000}">
      <text>
        <r>
          <rPr>
            <sz val="10"/>
            <rFont val="Arial"/>
            <family val="2"/>
          </rPr>
          <t>Ô chỉ tiêu có định dạng ký tự</t>
        </r>
      </text>
    </comment>
    <comment ref="D12" authorId="0" shapeId="0" xr:uid="{00000000-0006-0000-0300-000020000000}">
      <text>
        <r>
          <rPr>
            <sz val="10"/>
            <rFont val="Arial"/>
            <family val="2"/>
          </rPr>
          <t>Ô chỉ tiêu có định dạng số. Đơn vị tính x 1 (hoặc %)</t>
        </r>
      </text>
    </comment>
    <comment ref="E12" authorId="0" shapeId="0" xr:uid="{00000000-0006-0000-0300-000021000000}">
      <text>
        <r>
          <rPr>
            <sz val="10"/>
            <rFont val="Arial"/>
            <family val="2"/>
          </rPr>
          <t>Ô chỉ tiêu có định dạng số. Đơn vị tính x 1 (hoặc %)</t>
        </r>
      </text>
    </comment>
    <comment ref="C13" authorId="0" shapeId="0" xr:uid="{00000000-0006-0000-0300-000022000000}">
      <text>
        <r>
          <rPr>
            <sz val="10"/>
            <rFont val="Arial"/>
            <family val="2"/>
          </rPr>
          <t>Ô chỉ tiêu có định dạng ký tự</t>
        </r>
      </text>
    </comment>
    <comment ref="D13" authorId="0" shapeId="0" xr:uid="{00000000-0006-0000-0300-000023000000}">
      <text>
        <r>
          <rPr>
            <sz val="10"/>
            <rFont val="Arial"/>
            <family val="2"/>
          </rPr>
          <t>Ô chỉ tiêu có định dạng số. Đơn vị tính x 1 (hoặc %)</t>
        </r>
      </text>
    </comment>
    <comment ref="E13" authorId="0" shapeId="0" xr:uid="{00000000-0006-0000-0300-000024000000}">
      <text>
        <r>
          <rPr>
            <sz val="10"/>
            <rFont val="Arial"/>
            <family val="2"/>
          </rPr>
          <t>Ô chỉ tiêu có định dạng số. Đơn vị tính x 1 (hoặc %)</t>
        </r>
      </text>
    </comment>
    <comment ref="C14" authorId="0" shapeId="0" xr:uid="{00000000-0006-0000-0300-000025000000}">
      <text>
        <r>
          <rPr>
            <sz val="10"/>
            <rFont val="Arial"/>
            <family val="2"/>
          </rPr>
          <t>Ô chỉ tiêu có định dạng ký tự</t>
        </r>
      </text>
    </comment>
    <comment ref="D14" authorId="0" shapeId="0" xr:uid="{00000000-0006-0000-0300-000026000000}">
      <text>
        <r>
          <rPr>
            <sz val="10"/>
            <rFont val="Arial"/>
            <family val="2"/>
          </rPr>
          <t>Ô chỉ tiêu có định dạng số. Đơn vị tính x 1 (hoặc %)</t>
        </r>
      </text>
    </comment>
    <comment ref="E14" authorId="0" shapeId="0" xr:uid="{00000000-0006-0000-0300-000027000000}">
      <text>
        <r>
          <rPr>
            <sz val="10"/>
            <rFont val="Arial"/>
            <family val="2"/>
          </rPr>
          <t>Ô chỉ tiêu có định dạng số. Đơn vị tính x 1 (hoặc %)</t>
        </r>
      </text>
    </comment>
    <comment ref="C15" authorId="0" shapeId="0" xr:uid="{00000000-0006-0000-0300-000028000000}">
      <text>
        <r>
          <rPr>
            <sz val="10"/>
            <rFont val="Arial"/>
            <family val="2"/>
          </rPr>
          <t>Ô chỉ tiêu có định dạng ký tự</t>
        </r>
      </text>
    </comment>
    <comment ref="D15" authorId="0" shapeId="0" xr:uid="{00000000-0006-0000-0300-000029000000}">
      <text>
        <r>
          <rPr>
            <sz val="10"/>
            <rFont val="Arial"/>
            <family val="2"/>
          </rPr>
          <t>Ô chỉ tiêu có định dạng số. Đơn vị tính x 1 (hoặc %)</t>
        </r>
      </text>
    </comment>
    <comment ref="E15" authorId="0" shapeId="0" xr:uid="{00000000-0006-0000-0300-00002A000000}">
      <text>
        <r>
          <rPr>
            <sz val="10"/>
            <rFont val="Arial"/>
            <family val="2"/>
          </rPr>
          <t>Ô chỉ tiêu có định dạng số. Đơn vị tính x 1 (hoặc %)</t>
        </r>
      </text>
    </comment>
    <comment ref="C16" authorId="0" shapeId="0" xr:uid="{00000000-0006-0000-0300-00002B000000}">
      <text>
        <r>
          <rPr>
            <sz val="10"/>
            <rFont val="Arial"/>
            <family val="2"/>
          </rPr>
          <t>Ô chỉ tiêu có định dạng ký tự</t>
        </r>
      </text>
    </comment>
    <comment ref="D16" authorId="0" shapeId="0" xr:uid="{00000000-0006-0000-0300-00002C000000}">
      <text>
        <r>
          <rPr>
            <sz val="10"/>
            <rFont val="Arial"/>
            <family val="2"/>
          </rPr>
          <t>Ô chỉ tiêu có định dạng số. Đơn vị tính x 1 (hoặc %)</t>
        </r>
      </text>
    </comment>
    <comment ref="E16" authorId="0" shapeId="0" xr:uid="{00000000-0006-0000-0300-00002D000000}">
      <text>
        <r>
          <rPr>
            <sz val="10"/>
            <rFont val="Arial"/>
            <family val="2"/>
          </rPr>
          <t>Ô chỉ tiêu có định dạng số. Đơn vị tính x 1 (hoặc %)</t>
        </r>
      </text>
    </comment>
    <comment ref="C17" authorId="0" shapeId="0" xr:uid="{00000000-0006-0000-0300-00002E000000}">
      <text>
        <r>
          <rPr>
            <sz val="10"/>
            <rFont val="Arial"/>
            <family val="2"/>
          </rPr>
          <t>Ô chỉ tiêu có định dạng ký tự</t>
        </r>
      </text>
    </comment>
    <comment ref="D17" authorId="0" shapeId="0" xr:uid="{00000000-0006-0000-0300-00002F000000}">
      <text>
        <r>
          <rPr>
            <sz val="10"/>
            <rFont val="Arial"/>
            <family val="2"/>
          </rPr>
          <t>Ô chỉ tiêu có định dạng số. Đơn vị tính x 1 (hoặc %)</t>
        </r>
      </text>
    </comment>
    <comment ref="E17" authorId="0" shapeId="0" xr:uid="{00000000-0006-0000-0300-000030000000}">
      <text>
        <r>
          <rPr>
            <sz val="10"/>
            <rFont val="Arial"/>
            <family val="2"/>
          </rPr>
          <t>Ô chỉ tiêu có định dạng số. Đơn vị tính x 1 (hoặc %)</t>
        </r>
      </text>
    </comment>
    <comment ref="C18" authorId="0" shapeId="0" xr:uid="{00000000-0006-0000-0300-000031000000}">
      <text>
        <r>
          <rPr>
            <sz val="10"/>
            <rFont val="Arial"/>
            <family val="2"/>
          </rPr>
          <t>Ô chỉ tiêu có định dạng ký tự</t>
        </r>
      </text>
    </comment>
    <comment ref="D18" authorId="0" shapeId="0" xr:uid="{00000000-0006-0000-0300-000032000000}">
      <text>
        <r>
          <rPr>
            <sz val="10"/>
            <rFont val="Arial"/>
            <family val="2"/>
          </rPr>
          <t>Ô chỉ tiêu có định dạng số. Đơn vị tính x 1 (hoặc %)</t>
        </r>
      </text>
    </comment>
    <comment ref="E18" authorId="0" shapeId="0" xr:uid="{00000000-0006-0000-0300-000033000000}">
      <text>
        <r>
          <rPr>
            <sz val="10"/>
            <rFont val="Arial"/>
            <family val="2"/>
          </rPr>
          <t>Ô chỉ tiêu có định dạng số. Đơn vị tính x 1 (hoặc %)</t>
        </r>
      </text>
    </comment>
    <comment ref="C19" authorId="0" shapeId="0" xr:uid="{00000000-0006-0000-0300-000034000000}">
      <text>
        <r>
          <rPr>
            <sz val="10"/>
            <rFont val="Arial"/>
            <family val="2"/>
          </rPr>
          <t>Ô chỉ tiêu có định dạng ký tự</t>
        </r>
      </text>
    </comment>
    <comment ref="D19" authorId="0" shapeId="0" xr:uid="{00000000-0006-0000-0300-000035000000}">
      <text>
        <r>
          <rPr>
            <sz val="10"/>
            <rFont val="Arial"/>
            <family val="2"/>
          </rPr>
          <t>Ô chỉ tiêu có định dạng số. Đơn vị tính x 1 (hoặc %)</t>
        </r>
      </text>
    </comment>
    <comment ref="E19" authorId="0" shapeId="0" xr:uid="{00000000-0006-0000-0300-000036000000}">
      <text>
        <r>
          <rPr>
            <sz val="10"/>
            <rFont val="Arial"/>
            <family val="2"/>
          </rPr>
          <t>Ô chỉ tiêu có định dạng số. Đơn vị tính x 1 (hoặc %)</t>
        </r>
      </text>
    </comment>
    <comment ref="C20" authorId="0" shapeId="0" xr:uid="{00000000-0006-0000-0300-000037000000}">
      <text>
        <r>
          <rPr>
            <sz val="10"/>
            <rFont val="Arial"/>
            <family val="2"/>
          </rPr>
          <t>Ô chỉ tiêu có định dạng ký tự</t>
        </r>
      </text>
    </comment>
    <comment ref="D20" authorId="0" shapeId="0" xr:uid="{00000000-0006-0000-0300-000038000000}">
      <text>
        <r>
          <rPr>
            <sz val="10"/>
            <rFont val="Arial"/>
            <family val="2"/>
          </rPr>
          <t>Ô chỉ tiêu có định dạng số. Đơn vị tính x 1 (hoặc %)</t>
        </r>
      </text>
    </comment>
    <comment ref="E20" authorId="0" shapeId="0" xr:uid="{00000000-0006-0000-0300-000039000000}">
      <text>
        <r>
          <rPr>
            <sz val="10"/>
            <rFont val="Arial"/>
            <family val="2"/>
          </rPr>
          <t>Ô chỉ tiêu có định dạng số. Đơn vị tính x 1 (hoặc %)</t>
        </r>
      </text>
    </comment>
    <comment ref="C21" authorId="0" shapeId="0" xr:uid="{00000000-0006-0000-0300-00003A000000}">
      <text>
        <r>
          <rPr>
            <sz val="10"/>
            <rFont val="Arial"/>
            <family val="2"/>
          </rPr>
          <t>Ô chỉ tiêu có định dạng ký tự</t>
        </r>
      </text>
    </comment>
    <comment ref="D21" authorId="0" shapeId="0" xr:uid="{00000000-0006-0000-0300-00003B000000}">
      <text>
        <r>
          <rPr>
            <sz val="10"/>
            <rFont val="Arial"/>
            <family val="2"/>
          </rPr>
          <t>Ô chỉ tiêu có định dạng số. Đơn vị tính x 1 (hoặc %)</t>
        </r>
      </text>
    </comment>
    <comment ref="E21" authorId="0" shapeId="0" xr:uid="{00000000-0006-0000-0300-00003C000000}">
      <text>
        <r>
          <rPr>
            <sz val="10"/>
            <rFont val="Arial"/>
            <family val="2"/>
          </rPr>
          <t>Ô chỉ tiêu có định dạng số. Đơn vị tính x 1 (hoặc %)</t>
        </r>
      </text>
    </comment>
    <comment ref="C22" authorId="0" shapeId="0" xr:uid="{00000000-0006-0000-0300-00003D000000}">
      <text>
        <r>
          <rPr>
            <sz val="10"/>
            <rFont val="Arial"/>
            <family val="2"/>
          </rPr>
          <t>Ô chỉ tiêu có định dạng ký tự</t>
        </r>
      </text>
    </comment>
    <comment ref="D22" authorId="0" shapeId="0" xr:uid="{00000000-0006-0000-0300-00003E000000}">
      <text>
        <r>
          <rPr>
            <sz val="10"/>
            <rFont val="Arial"/>
            <family val="2"/>
          </rPr>
          <t>Ô chỉ tiêu có định dạng số. Đơn vị tính x 1 (hoặc %)</t>
        </r>
      </text>
    </comment>
    <comment ref="E22" authorId="0" shapeId="0" xr:uid="{00000000-0006-0000-0300-00003F000000}">
      <text>
        <r>
          <rPr>
            <sz val="10"/>
            <rFont val="Arial"/>
            <family val="2"/>
          </rPr>
          <t>Ô chỉ tiêu có định dạng số. Đơn vị tính x 1 (hoặc %)</t>
        </r>
      </text>
    </comment>
    <comment ref="C23" authorId="0" shapeId="0" xr:uid="{00000000-0006-0000-0300-000040000000}">
      <text>
        <r>
          <rPr>
            <sz val="10"/>
            <rFont val="Arial"/>
            <family val="2"/>
          </rPr>
          <t>Ô chỉ tiêu có định dạng ký tự</t>
        </r>
      </text>
    </comment>
    <comment ref="D23" authorId="0" shapeId="0" xr:uid="{00000000-0006-0000-0300-000041000000}">
      <text>
        <r>
          <rPr>
            <sz val="10"/>
            <rFont val="Arial"/>
            <family val="2"/>
          </rPr>
          <t>Ô chỉ tiêu có định dạng số. Đơn vị tính x 1 (hoặc %)</t>
        </r>
      </text>
    </comment>
    <comment ref="E23" authorId="0" shapeId="0" xr:uid="{00000000-0006-0000-0300-000042000000}">
      <text>
        <r>
          <rPr>
            <sz val="10"/>
            <rFont val="Arial"/>
            <family val="2"/>
          </rPr>
          <t>Ô chỉ tiêu có định dạng số. Đơn vị tính x 1 (hoặc %)</t>
        </r>
      </text>
    </comment>
    <comment ref="C24" authorId="0" shapeId="0" xr:uid="{00000000-0006-0000-0300-000043000000}">
      <text>
        <r>
          <rPr>
            <sz val="10"/>
            <rFont val="Arial"/>
            <family val="2"/>
          </rPr>
          <t>Ô chỉ tiêu có định dạng ký tự</t>
        </r>
      </text>
    </comment>
    <comment ref="D24" authorId="0" shapeId="0" xr:uid="{00000000-0006-0000-0300-000044000000}">
      <text>
        <r>
          <rPr>
            <sz val="10"/>
            <rFont val="Arial"/>
            <family val="2"/>
          </rPr>
          <t>Ô chỉ tiêu có định dạng số. Đơn vị tính x 1 (hoặc %)</t>
        </r>
      </text>
    </comment>
    <comment ref="E24" authorId="0" shapeId="0" xr:uid="{00000000-0006-0000-0300-000045000000}">
      <text>
        <r>
          <rPr>
            <sz val="10"/>
            <rFont val="Arial"/>
            <family val="2"/>
          </rPr>
          <t>Ô chỉ tiêu có định dạng số. Đơn vị tính x 1 (hoặc %)</t>
        </r>
      </text>
    </comment>
    <comment ref="C25" authorId="0" shapeId="0" xr:uid="{00000000-0006-0000-0300-000046000000}">
      <text>
        <r>
          <rPr>
            <sz val="10"/>
            <rFont val="Arial"/>
            <family val="2"/>
          </rPr>
          <t>Ô chỉ tiêu có định dạng ký tự</t>
        </r>
      </text>
    </comment>
    <comment ref="D25" authorId="0" shapeId="0" xr:uid="{00000000-0006-0000-0300-000047000000}">
      <text>
        <r>
          <rPr>
            <sz val="10"/>
            <rFont val="Arial"/>
            <family val="2"/>
          </rPr>
          <t>Ô chỉ tiêu có định dạng số. Đơn vị tính x 1 (hoặc %)</t>
        </r>
      </text>
    </comment>
    <comment ref="E25" authorId="0" shapeId="0" xr:uid="{00000000-0006-0000-0300-000048000000}">
      <text>
        <r>
          <rPr>
            <sz val="10"/>
            <rFont val="Arial"/>
            <family val="2"/>
          </rPr>
          <t>Ô chỉ tiêu có định dạng số. Đơn vị tính x 1 (hoặc %)</t>
        </r>
      </text>
    </comment>
    <comment ref="C26" authorId="0" shapeId="0" xr:uid="{00000000-0006-0000-0300-000049000000}">
      <text>
        <r>
          <rPr>
            <sz val="10"/>
            <rFont val="Arial"/>
            <family val="2"/>
          </rPr>
          <t>Ô chỉ tiêu có định dạng ký tự</t>
        </r>
      </text>
    </comment>
    <comment ref="D26" authorId="0" shapeId="0" xr:uid="{00000000-0006-0000-0300-00004A000000}">
      <text>
        <r>
          <rPr>
            <sz val="10"/>
            <rFont val="Arial"/>
            <family val="2"/>
          </rPr>
          <t>Ô chỉ tiêu có định dạng số. Đơn vị tính x 1 (hoặc %)</t>
        </r>
      </text>
    </comment>
    <comment ref="E26" authorId="0" shapeId="0" xr:uid="{00000000-0006-0000-0300-00004B000000}">
      <text>
        <r>
          <rPr>
            <sz val="10"/>
            <rFont val="Arial"/>
            <family val="2"/>
          </rPr>
          <t>Ô chỉ tiêu có định dạng số. Đơn vị tính x 1 (hoặc %)</t>
        </r>
      </text>
    </comment>
    <comment ref="C27" authorId="0" shapeId="0" xr:uid="{00000000-0006-0000-0300-00004C000000}">
      <text>
        <r>
          <rPr>
            <sz val="10"/>
            <rFont val="Arial"/>
            <family val="2"/>
          </rPr>
          <t>Ô chỉ tiêu có định dạng ký tự</t>
        </r>
      </text>
    </comment>
    <comment ref="D27" authorId="0" shapeId="0" xr:uid="{00000000-0006-0000-0300-00004D000000}">
      <text>
        <r>
          <rPr>
            <sz val="10"/>
            <rFont val="Arial"/>
            <family val="2"/>
          </rPr>
          <t>Ô chỉ tiêu có định dạng số. Đơn vị tính x 1 (hoặc %)</t>
        </r>
      </text>
    </comment>
    <comment ref="E27" authorId="0" shapeId="0" xr:uid="{00000000-0006-0000-0300-00004E000000}">
      <text>
        <r>
          <rPr>
            <sz val="10"/>
            <rFont val="Arial"/>
            <family val="2"/>
          </rPr>
          <t>Ô chỉ tiêu có định dạng số. Đơn vị tính x 1 (hoặc %)</t>
        </r>
      </text>
    </comment>
    <comment ref="C28" authorId="0" shapeId="0" xr:uid="{00000000-0006-0000-0300-00004F000000}">
      <text>
        <r>
          <rPr>
            <sz val="10"/>
            <rFont val="Arial"/>
            <family val="2"/>
          </rPr>
          <t>Ô chỉ tiêu có định dạng ký tự</t>
        </r>
      </text>
    </comment>
    <comment ref="D28" authorId="0" shapeId="0" xr:uid="{00000000-0006-0000-0300-000050000000}">
      <text>
        <r>
          <rPr>
            <sz val="10"/>
            <rFont val="Arial"/>
            <family val="2"/>
          </rPr>
          <t>Ô chỉ tiêu có định dạng số. Đơn vị tính x 1 (hoặc %)</t>
        </r>
      </text>
    </comment>
    <comment ref="E28" authorId="0" shapeId="0" xr:uid="{00000000-0006-0000-0300-000051000000}">
      <text>
        <r>
          <rPr>
            <sz val="10"/>
            <rFont val="Arial"/>
            <family val="2"/>
          </rPr>
          <t>Ô chỉ tiêu có định dạng số. Đơn vị tính x 1 (hoặc %)</t>
        </r>
      </text>
    </comment>
    <comment ref="C29" authorId="0" shapeId="0" xr:uid="{00000000-0006-0000-0300-000052000000}">
      <text>
        <r>
          <rPr>
            <sz val="10"/>
            <rFont val="Arial"/>
            <family val="2"/>
          </rPr>
          <t>Ô chỉ tiêu có định dạng ký tự</t>
        </r>
      </text>
    </comment>
    <comment ref="D29" authorId="0" shapeId="0" xr:uid="{00000000-0006-0000-0300-000053000000}">
      <text>
        <r>
          <rPr>
            <sz val="10"/>
            <rFont val="Arial"/>
            <family val="2"/>
          </rPr>
          <t>Ô chỉ tiêu có định dạng số. Đơn vị tính x 1 (hoặc %)</t>
        </r>
      </text>
    </comment>
    <comment ref="E29" authorId="0" shapeId="0" xr:uid="{00000000-0006-0000-0300-000054000000}">
      <text>
        <r>
          <rPr>
            <sz val="10"/>
            <rFont val="Arial"/>
            <family val="2"/>
          </rPr>
          <t>Ô chỉ tiêu có định dạng số. Đơn vị tính x 1 (hoặc %)</t>
        </r>
      </text>
    </comment>
    <comment ref="C30" authorId="0" shapeId="0" xr:uid="{00000000-0006-0000-0300-000055000000}">
      <text>
        <r>
          <rPr>
            <sz val="10"/>
            <rFont val="Arial"/>
            <family val="2"/>
          </rPr>
          <t>Ô chỉ tiêu có định dạng ký tự</t>
        </r>
      </text>
    </comment>
    <comment ref="D30" authorId="0" shapeId="0" xr:uid="{00000000-0006-0000-0300-000056000000}">
      <text>
        <r>
          <rPr>
            <sz val="10"/>
            <rFont val="Arial"/>
            <family val="2"/>
          </rPr>
          <t>Ô chỉ tiêu có định dạng số. Đơn vị tính x 1 (hoặc %)</t>
        </r>
      </text>
    </comment>
    <comment ref="E30" authorId="0" shapeId="0" xr:uid="{00000000-0006-0000-0300-000057000000}">
      <text>
        <r>
          <rPr>
            <sz val="10"/>
            <rFont val="Arial"/>
            <family val="2"/>
          </rPr>
          <t>Ô chỉ tiêu có định dạng số. Đơn vị tính x 1 (hoặc %)</t>
        </r>
      </text>
    </comment>
    <comment ref="C31" authorId="0" shapeId="0" xr:uid="{00000000-0006-0000-0300-000058000000}">
      <text>
        <r>
          <rPr>
            <sz val="10"/>
            <rFont val="Arial"/>
            <family val="2"/>
          </rPr>
          <t>Ô chỉ tiêu có định dạng ký tự</t>
        </r>
      </text>
    </comment>
    <comment ref="D31" authorId="0" shapeId="0" xr:uid="{00000000-0006-0000-0300-000059000000}">
      <text>
        <r>
          <rPr>
            <sz val="10"/>
            <rFont val="Arial"/>
            <family val="2"/>
          </rPr>
          <t>Ô chỉ tiêu có định dạng số. Đơn vị tính x 1 (hoặc %)</t>
        </r>
      </text>
    </comment>
    <comment ref="E31" authorId="0" shapeId="0" xr:uid="{00000000-0006-0000-0300-00005A000000}">
      <text>
        <r>
          <rPr>
            <sz val="10"/>
            <rFont val="Arial"/>
            <family val="2"/>
          </rPr>
          <t>Ô chỉ tiêu có định dạng số. Đơn vị tính x 1 (hoặc %)</t>
        </r>
      </text>
    </comment>
    <comment ref="C32" authorId="0" shapeId="0" xr:uid="{00000000-0006-0000-0300-00005B000000}">
      <text>
        <r>
          <rPr>
            <sz val="10"/>
            <rFont val="Arial"/>
            <family val="2"/>
          </rPr>
          <t>Ô chỉ tiêu có định dạng ký tự</t>
        </r>
      </text>
    </comment>
    <comment ref="D32" authorId="0" shapeId="0" xr:uid="{00000000-0006-0000-0300-00005C000000}">
      <text>
        <r>
          <rPr>
            <sz val="10"/>
            <rFont val="Arial"/>
            <family val="2"/>
          </rPr>
          <t>Ô chỉ tiêu có định dạng số. Đơn vị tính x 1 (hoặc %)</t>
        </r>
      </text>
    </comment>
    <comment ref="E32" authorId="0" shapeId="0" xr:uid="{00000000-0006-0000-0300-00005D00000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<sst xmlns="http://schemas.openxmlformats.org/spreadsheetml/2006/main" count="892" uniqueCount="636">
  <si>
    <t xml:space="preserve"> </t>
  </si>
  <si>
    <t>BÁO CÁO TÀI CHÍNH QUỸ MỞ</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</si>
  <si>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</si>
  <si>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</si>
  <si>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</si>
  <si>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</si>
  <si>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</si>
  <si>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</si>
  <si>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</si>
  <si>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</si>
  <si>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</si>
  <si>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</si>
  <si>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</si>
  <si>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</si>
  <si>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</si>
  <si>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</si>
  <si>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</si>
  <si>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</si>
  <si>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</si>
  <si>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</si>
  <si>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</si>
  <si>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</si>
  <si>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</si>
  <si>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Công ty Quản lý quỹ</t>
  </si>
  <si>
    <t>Kế toán trưởng</t>
  </si>
  <si>
    <t>Tổng (Giám) đốc</t>
  </si>
  <si>
    <t>Người lập biểu</t>
  </si>
  <si>
    <t>(Ký, họ tên, đóng dấu)</t>
  </si>
  <si>
    <t>(Ký, họ tên)</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</si>
  <si>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</si>
  <si>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</si>
  <si>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</si>
  <si>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</si>
  <si>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</si>
  <si>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</si>
  <si>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</si>
  <si>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</si>
  <si>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</si>
  <si>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</si>
  <si>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</si>
  <si>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</si>
  <si>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</si>
  <si>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</si>
  <si>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</si>
  <si>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</si>
  <si>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</si>
  <si>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</si>
  <si>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</si>
  <si>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</si>
  <si>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</si>
  <si>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</si>
  <si>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</si>
  <si>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</si>
  <si>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</si>
  <si>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</si>
  <si>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</si>
  <si>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</si>
  <si>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</si>
  <si>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</si>
  <si>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</si>
  <si>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</si>
  <si>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</si>
  <si>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</si>
  <si>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</si>
  <si>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</si>
  <si>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</si>
  <si>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</si>
  <si>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</si>
  <si>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</si>
  <si>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</si>
  <si>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</si>
  <si>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</si>
  <si>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</si>
  <si>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</si>
  <si>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</si>
  <si>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</si>
  <si>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</si>
  <si>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</si>
  <si>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</si>
  <si>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</si>
  <si>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</si>
  <si>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</si>
  <si>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</si>
  <si>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</si>
  <si>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</si>
  <si>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</si>
  <si>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</si>
  <si>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</si>
  <si>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</si>
  <si>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</si>
  <si>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</si>
  <si>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</si>
  <si>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</si>
  <si>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</si>
  <si>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</si>
  <si>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</si>
  <si>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</si>
  <si>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</si>
  <si>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</si>
  <si>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</si>
  <si>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</si>
  <si>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</si>
  <si>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</si>
  <si>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</si>
  <si>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</si>
  <si>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</si>
  <si>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</si>
  <si>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</si>
  <si>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</si>
  <si>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</si>
  <si>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</si>
  <si>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</si>
  <si>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</si>
  <si>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</si>
  <si>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</si>
  <si>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</si>
  <si>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</si>
  <si>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</si>
  <si>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</si>
  <si>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</si>
  <si>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</si>
  <si>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</si>
  <si>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</si>
  <si>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</si>
  <si>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</si>
  <si>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</si>
  <si>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</si>
  <si>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</si>
  <si>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</si>
  <si>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</si>
  <si>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</si>
  <si>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</si>
  <si>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</si>
  <si>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</si>
  <si>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</si>
  <si>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</si>
  <si>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</si>
  <si>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</si>
  <si>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</si>
  <si>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</si>
  <si>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</si>
  <si>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</si>
  <si>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</si>
  <si>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</si>
  <si>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</si>
  <si>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</si>
  <si>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</si>
  <si>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</si>
  <si>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</si>
  <si>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</si>
  <si>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</si>
  <si>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</si>
  <si>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</si>
  <si>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</si>
  <si>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</si>
  <si>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</si>
  <si>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4060</t>
  </si>
  <si>
    <t>4061</t>
  </si>
  <si>
    <t>II.1</t>
  </si>
  <si>
    <t>4062</t>
  </si>
  <si>
    <t>II.2</t>
  </si>
  <si>
    <t>4063</t>
  </si>
  <si>
    <t>III</t>
  </si>
  <si>
    <t>4064</t>
  </si>
  <si>
    <t>III.1</t>
  </si>
  <si>
    <t>4065</t>
  </si>
  <si>
    <t>III.2</t>
  </si>
  <si>
    <t>4066</t>
  </si>
  <si>
    <t>IV</t>
  </si>
  <si>
    <t>4067</t>
  </si>
  <si>
    <t>4030</t>
  </si>
  <si>
    <t>4031</t>
  </si>
  <si>
    <t>4032</t>
  </si>
  <si>
    <t>4033</t>
  </si>
  <si>
    <t>4034</t>
  </si>
  <si>
    <t>4035</t>
  </si>
  <si>
    <t>4036</t>
  </si>
  <si>
    <t>4037</t>
  </si>
  <si>
    <t>4038</t>
  </si>
  <si>
    <t>4039</t>
  </si>
  <si>
    <t>V</t>
  </si>
  <si>
    <t>4040</t>
  </si>
  <si>
    <t>4042</t>
  </si>
  <si>
    <t>4043</t>
  </si>
  <si>
    <t>4044</t>
  </si>
  <si>
    <t>4045</t>
  </si>
  <si>
    <t>4046</t>
  </si>
  <si>
    <t>VII</t>
  </si>
  <si>
    <t>4047</t>
  </si>
  <si>
    <t>16</t>
  </si>
  <si>
    <t>17</t>
  </si>
  <si>
    <t>18</t>
  </si>
  <si>
    <t>19</t>
  </si>
  <si>
    <t>33</t>
  </si>
  <si>
    <t>34</t>
  </si>
  <si>
    <t>35</t>
  </si>
  <si>
    <t>80</t>
  </si>
  <si>
    <t>......., ngày 19 tháng 07 năm 2021</t>
  </si>
  <si>
    <t>Chỉ tiêu
Indicator</t>
  </si>
  <si>
    <t>Mã số
Code</t>
  </si>
  <si>
    <t>Thuyết minh
Note</t>
  </si>
  <si>
    <t>Năm 2021
Year 2021</t>
  </si>
  <si>
    <t>Năm 2020
Year 2020</t>
  </si>
  <si>
    <t>Bán niên năm 2021
The first 6 months of  2021</t>
  </si>
  <si>
    <t>Số lũy kế
Year-to-date</t>
  </si>
  <si>
    <t>Bán niên năm  2020
The first 6 months of  2020</t>
  </si>
  <si>
    <t>I. THU NHẬP, DOANH THU HOẠT ĐỘNG ĐẦU TƯ
Investment income</t>
  </si>
  <si>
    <t>1.1. Cổ tức được chia
Dividend income</t>
  </si>
  <si>
    <t>1.2.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</si>
  <si>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</si>
  <si>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</si>
  <si>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</si>
  <si>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</si>
  <si>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</si>
  <si>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</si>
  <si>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</si>
  <si>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</si>
  <si>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</si>
  <si>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</si>
  <si>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</si>
  <si>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</si>
  <si>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</si>
  <si>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</si>
  <si>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</si>
  <si>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</si>
  <si>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</si>
  <si>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</si>
  <si>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</si>
  <si>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</si>
  <si>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</si>
  <si>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</si>
  <si>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</si>
  <si>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</si>
  <si>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</si>
  <si>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</si>
  <si>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</si>
  <si>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</si>
  <si>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</si>
  <si>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</si>
  <si>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</si>
  <si>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Phí dịch vụ lưu ký cho chứng khoán cơ sở, phí quản lý vị thế và tài sản phái sinh trả cho VSD
Custodian service -  Depository fee, Position and Margin management fee paid to VSD</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</si>
  <si>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</si>
  <si>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</si>
  <si>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</si>
  <si>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</si>
  <si>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</si>
  <si>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3.6.1.Phí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</si>
  <si>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</si>
  <si>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</si>
  <si>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</si>
  <si>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</si>
  <si>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</si>
  <si>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</si>
  <si>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</si>
  <si>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</si>
  <si>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</si>
  <si>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</si>
  <si>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</si>
  <si>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</si>
  <si>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</si>
  <si>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Chi phí cung cấp báo giá chứng khoán 
Price feed fee</t>
  </si>
  <si>
    <t>20.10.04</t>
  </si>
  <si>
    <t>Chi phí dịch vụ tư vấn pháp lý
Legal consultancy expenses</t>
  </si>
  <si>
    <t>20.10.05</t>
  </si>
  <si>
    <t>Chi phí thiết lập Quỹ
Set up fee</t>
  </si>
  <si>
    <t>20.10.06</t>
  </si>
  <si>
    <t>Phí quản lý thường niên trả UBCKNN
Annual fee paid to SSC</t>
  </si>
  <si>
    <t>20.10.07</t>
  </si>
  <si>
    <t>Phí ngân hàng
Bank charges</t>
  </si>
  <si>
    <t>20.10.08</t>
  </si>
  <si>
    <t>Chi phí công bố thông tin của Quỹ
Expenses for information disclosure of the Fund</t>
  </si>
  <si>
    <t>20.10.09</t>
  </si>
  <si>
    <t>Phí thiết kế, in ấn, gửi thư…
Designing, printing, posting... expenses</t>
  </si>
  <si>
    <t>20.10.10</t>
  </si>
  <si>
    <t>Phí thực hiện quyền trả cho VSD
Fee paid to VSD for getting the list of investors</t>
  </si>
  <si>
    <t>20.10.11</t>
  </si>
  <si>
    <t>Phí đăng ký niêm yết bổ sung trả VSD
Additional registration fee paid to VSD</t>
  </si>
  <si>
    <t>20.10.12</t>
  </si>
  <si>
    <t>Phí niêm yết
Listing fee</t>
  </si>
  <si>
    <t>20.10.13</t>
  </si>
  <si>
    <t>Chi phí khác
Other expenses</t>
  </si>
  <si>
    <t>20.10.14</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</si>
  <si>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</si>
  <si>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</si>
  <si>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</si>
  <si>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</si>
  <si>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</si>
  <si>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</si>
  <si>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</si>
  <si>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</si>
  <si>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</si>
  <si>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Bán niên năm 2021
The first 6 months of 2021</t>
  </si>
  <si>
    <t>Bán niên năm 2020
The first 6 months of 2020</t>
  </si>
  <si>
    <t>Ngày 30 tháng 06 
năm 2021
 As at 30 Jun 2021</t>
  </si>
  <si>
    <t>Ngày 31 tháng 12 năm 2020
 As at 31 Dec 2020</t>
  </si>
  <si>
    <t>I. TÀI SẢN
ASSETS</t>
  </si>
  <si>
    <t>1.Tiền gửi ngân hàng và tương đương tiền
Cash at bank and cash equivalent</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</si>
  <si>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</si>
  <si>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</si>
  <si>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</si>
  <si>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</si>
  <si>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</si>
  <si>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</si>
  <si>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</si>
  <si>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</si>
  <si>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</si>
  <si>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 Tiền gửi có kỳ hạn dưới ba (03) tháng
Deposit with term less than three (03) months</t>
  </si>
  <si>
    <t>2. Các khoản đầu tư thuần
Net Investments</t>
  </si>
  <si>
    <t>2.1. Các khoản đầu tư
Investments</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</si>
  <si>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</si>
  <si>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</si>
  <si>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</si>
  <si>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</si>
  <si>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</si>
  <si>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</si>
  <si>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</si>
  <si>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</si>
  <si>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</si>
  <si>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</si>
  <si>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</si>
  <si>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</si>
  <si>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</si>
  <si>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</si>
  <si>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</si>
  <si>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</si>
  <si>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</si>
  <si>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</si>
  <si>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</si>
  <si>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</si>
  <si>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</si>
  <si>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</si>
  <si>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</si>
  <si>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</si>
  <si>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</si>
  <si>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</si>
  <si>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</si>
  <si>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</si>
  <si>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</si>
  <si>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</si>
  <si>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</si>
  <si>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</si>
  <si>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</si>
  <si>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</si>
  <si>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</si>
  <si>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</si>
  <si>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</si>
  <si>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</si>
  <si>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</si>
  <si>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</si>
  <si>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</si>
  <si>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</si>
  <si>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</si>
  <si>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</si>
  <si>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</si>
  <si>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</si>
  <si>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</si>
  <si>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</si>
  <si>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</si>
  <si>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</si>
  <si>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</si>
  <si>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</si>
  <si>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</si>
  <si>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</si>
  <si>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</si>
  <si>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</si>
  <si>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</si>
  <si>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</si>
  <si>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TỔNG TÀI SẢN
TOTAL ASSETS</t>
  </si>
  <si>
    <t>II. NỢ PHẢI TRẢ
TOTAL LIABILITIES</t>
  </si>
  <si>
    <t>1. Vay ngắn hạn 
Short-term loans</t>
  </si>
  <si>
    <t>Gốc hợp đồng repo
Repo contracts - Principal</t>
  </si>
  <si>
    <t>311.1</t>
  </si>
  <si>
    <t>Vay ngắn hạn
Short-term loans</t>
  </si>
  <si>
    <t>311.2</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</si>
  <si>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</si>
  <si>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</si>
  <si>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</si>
  <si>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</si>
  <si>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</si>
  <si>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</si>
  <si>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</si>
  <si>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5.Phải trả thu nhập cho Nhà đầu tư
Profit distribution payables</t>
  </si>
  <si>
    <t>6. Chi phí phải trả
Expense Accruals</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</si>
  <si>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</si>
  <si>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</si>
  <si>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</si>
  <si>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</si>
  <si>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</si>
  <si>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</si>
  <si>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</si>
  <si>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</si>
  <si>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</si>
  <si>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</si>
  <si>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</si>
  <si>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</si>
  <si>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</si>
  <si>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</si>
  <si>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</si>
  <si>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</si>
  <si>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</si>
  <si>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</si>
  <si>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</si>
  <si>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</si>
  <si>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</si>
  <si>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</si>
  <si>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</si>
  <si>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</si>
  <si>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9. Phải trả dịch vụ quản lý Quỹ mở
Fund management related service expense payable</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</si>
  <si>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</si>
  <si>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</si>
  <si>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</si>
  <si>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</si>
  <si>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</si>
  <si>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</si>
  <si>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</si>
  <si>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</si>
  <si>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</si>
  <si>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</si>
  <si>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</si>
  <si>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</si>
  <si>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</si>
  <si>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</si>
  <si>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</si>
  <si>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</si>
  <si>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</si>
  <si>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</si>
  <si>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</si>
  <si>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</si>
  <si>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</si>
  <si>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</si>
  <si>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</si>
  <si>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</si>
  <si>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</si>
  <si>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</si>
  <si>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</si>
  <si>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</si>
  <si>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</si>
  <si>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</si>
  <si>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</si>
  <si>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</si>
  <si>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</si>
  <si>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</si>
  <si>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</si>
  <si>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</si>
  <si>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</si>
  <si>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</si>
  <si>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</si>
  <si>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</si>
  <si>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</si>
  <si>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</si>
  <si>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</si>
  <si>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</si>
  <si>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</si>
  <si>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</si>
  <si>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</si>
  <si>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</si>
  <si>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</si>
  <si>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STT
No</t>
  </si>
  <si>
    <t>Nội dung
Item</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</si>
  <si>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</si>
  <si>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</si>
  <si>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</si>
  <si>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</si>
  <si>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</si>
  <si>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</si>
  <si>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</si>
  <si>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</si>
  <si>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</si>
  <si>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</si>
  <si>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</si>
  <si>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</si>
  <si>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</si>
  <si>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</si>
  <si>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</si>
  <si>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</si>
  <si>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</si>
  <si>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</si>
  <si>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</si>
  <si>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</si>
  <si>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</si>
  <si>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</si>
  <si>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</si>
  <si>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</si>
  <si>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</si>
  <si>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</si>
  <si>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</si>
  <si>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</si>
  <si>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</si>
  <si>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</si>
  <si>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</si>
  <si>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</si>
  <si>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</si>
  <si>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</si>
  <si>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</si>
  <si>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</si>
  <si>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</si>
  <si>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</si>
  <si>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</si>
  <si>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</si>
  <si>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Tiền gửi không kỳ hạn
Demand deposit</t>
  </si>
  <si>
    <t>52.1</t>
  </si>
  <si>
    <t>Tiền gửi có kỳ hạn dưới ba (03) tháng
Deposits with term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</si>
  <si>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</si>
  <si>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</si>
  <si>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</si>
  <si>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</si>
  <si>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</si>
  <si>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</si>
  <si>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57.1</t>
  </si>
  <si>
    <t>57.2</t>
  </si>
  <si>
    <t>57.3</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</si>
  <si>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</si>
  <si>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</si>
  <si>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</si>
  <si>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</si>
  <si>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</si>
  <si>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</si>
  <si>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</si>
  <si>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</si>
  <si>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</si>
  <si>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</si>
  <si>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</si>
  <si>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SHARES</t>
  </si>
  <si>
    <t>CỔ PHIẾU CHƯA NIÊM YẾT
UNLISTED SHARES</t>
  </si>
  <si>
    <t>TỔNG
TOTAL</t>
  </si>
  <si>
    <t>TỔNG CÁC LOẠI CỔ PHIẾU
TOTAL SHARES</t>
  </si>
  <si>
    <t>TRÁI PHIẾU
BONDS</t>
  </si>
  <si>
    <t>CÁC LOẠI CHỨNG KHOÁN KHÁC
OTHER SECURITIES</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</si>
  <si>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</si>
  <si>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</si>
  <si>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</si>
  <si>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</si>
  <si>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</si>
  <si>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</si>
  <si>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khác
Other receivables</t>
  </si>
  <si>
    <t>Tài sản khác
Other assets</t>
  </si>
  <si>
    <t>TIỀN
CASH</t>
  </si>
  <si>
    <t>Tiền gửi Ngân hàng
Cash at bank</t>
  </si>
  <si>
    <t>Chứng chỉ tiền gửi 
Certificates of deposit</t>
  </si>
  <si>
    <t>Công cụ chuyển nhượng…
Transferable instruments…</t>
  </si>
  <si>
    <t>Tổng giá trị danh mục 
Total value of portfolio</t>
  </si>
  <si>
    <t>Công ty Quản lý quỹ: Công ty Cổ phần Quản lý Quỹ Kỹ Thương</t>
  </si>
  <si>
    <t>Quỹ: Quỹ Đầu tư Cổ phiếu Techcom</t>
  </si>
  <si>
    <t>Nguyễn Cẩm Linh</t>
  </si>
  <si>
    <t>Phan Thị Thu Hằng</t>
  </si>
  <si>
    <t>Đặng Lưu Dũng</t>
  </si>
  <si>
    <t>BID</t>
  </si>
  <si>
    <t>BVH</t>
  </si>
  <si>
    <t>CTG</t>
  </si>
  <si>
    <t>FPT</t>
  </si>
  <si>
    <t>GAS</t>
  </si>
  <si>
    <t>HDB</t>
  </si>
  <si>
    <t>HPG</t>
  </si>
  <si>
    <t>KDH</t>
  </si>
  <si>
    <t>MBB</t>
  </si>
  <si>
    <t>MSN</t>
  </si>
  <si>
    <t>MWG</t>
  </si>
  <si>
    <t>NVL</t>
  </si>
  <si>
    <t>PDR</t>
  </si>
  <si>
    <t>PLX</t>
  </si>
  <si>
    <t>PNJ</t>
  </si>
  <si>
    <t>POW</t>
  </si>
  <si>
    <t>REE</t>
  </si>
  <si>
    <t>SBT</t>
  </si>
  <si>
    <t>SSI</t>
  </si>
  <si>
    <t>STB</t>
  </si>
  <si>
    <t>TPB</t>
  </si>
  <si>
    <t>VCB</t>
  </si>
  <si>
    <t>VHM</t>
  </si>
  <si>
    <t>VIC</t>
  </si>
  <si>
    <t>VJC</t>
  </si>
  <si>
    <t>VNM</t>
  </si>
  <si>
    <t>VPB</t>
  </si>
  <si>
    <t>VRE</t>
  </si>
  <si>
    <t xml:space="preserve">V. Giá trị tài sản ròng trên một đơn vị quỹ cuối kỳ
NAV per unit at the end of period </t>
  </si>
  <si>
    <t>4067.1</t>
  </si>
  <si>
    <t>4030.1</t>
  </si>
  <si>
    <t>4030.2</t>
  </si>
  <si>
    <t>4030.3</t>
  </si>
  <si>
    <t>4030.4</t>
  </si>
  <si>
    <t>4030.5</t>
  </si>
  <si>
    <t>6</t>
  </si>
  <si>
    <t>4030.6</t>
  </si>
  <si>
    <t>7</t>
  </si>
  <si>
    <t>4030.7</t>
  </si>
  <si>
    <t>8</t>
  </si>
  <si>
    <t>4030.8</t>
  </si>
  <si>
    <t>9</t>
  </si>
  <si>
    <t>4030.9</t>
  </si>
  <si>
    <t>4030.10</t>
  </si>
  <si>
    <t>4030.11</t>
  </si>
  <si>
    <t>4030.12</t>
  </si>
  <si>
    <t>4030.13</t>
  </si>
  <si>
    <t>4030.14</t>
  </si>
  <si>
    <t>4030.15</t>
  </si>
  <si>
    <t>4030.16</t>
  </si>
  <si>
    <t>4030.17</t>
  </si>
  <si>
    <t>4030.18</t>
  </si>
  <si>
    <t>4030.19</t>
  </si>
  <si>
    <t>4030.20</t>
  </si>
  <si>
    <t>4030.21</t>
  </si>
  <si>
    <t>4030.22</t>
  </si>
  <si>
    <t>4030.23</t>
  </si>
  <si>
    <t>4030.24</t>
  </si>
  <si>
    <t>4030.25</t>
  </si>
  <si>
    <t>26</t>
  </si>
  <si>
    <t>4030.26</t>
  </si>
  <si>
    <t>27</t>
  </si>
  <si>
    <t>4030.27</t>
  </si>
  <si>
    <t>28</t>
  </si>
  <si>
    <t>4030.28</t>
  </si>
  <si>
    <t>Trái phiếu niêm yết
Listed bonds</t>
  </si>
  <si>
    <t>4035.1</t>
  </si>
  <si>
    <t>Trái phiếu chưa niêm yết
Unlisted Bonds</t>
  </si>
  <si>
    <t>4035.2</t>
  </si>
  <si>
    <t>4037.1</t>
  </si>
  <si>
    <t>Chi tiết loại hợp đồng phái sinh(*)
Index future contracts</t>
  </si>
  <si>
    <t>4037.2</t>
  </si>
  <si>
    <t>TỔNG
	TOTAL</t>
  </si>
  <si>
    <t>4040.1</t>
  </si>
  <si>
    <t>4040.2</t>
  </si>
  <si>
    <t>4040.3</t>
  </si>
  <si>
    <t>4040.4</t>
  </si>
  <si>
    <t>4040.5</t>
  </si>
  <si>
    <t>4040.6</t>
  </si>
  <si>
    <t>4040.7</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</si>
  <si>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</si>
  <si>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</si>
  <si>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</si>
  <si>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</si>
  <si>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</si>
  <si>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</si>
  <si>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</si>
  <si>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</si>
  <si>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</si>
  <si>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 xml:space="preserve">Bán niên: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</si>
</sst>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_);_(* \(#,##0.00\);_(* &quot;-&quot;_);_(@_)"/>
  </numFmts>
  <fonts count="24">
    <font>
      <sz val="10"/>
      <name val="Arial"/>
    </font>
    <font>
      <sz val="10"/>
      <name val="Arial"/>
      <family val="2"/>
    </font>
    <font>
      <sz val="12"/>
      <name val="Times New Roman"/>
      <family val="1"/>
    </font>
    <font>
      <sz val="12"/>
      <name val="Times New Roman"/>
      <family val="1"/>
    </font>
    <font>
      <b/>
      <sz val="13"/>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0"/>
      <name val="Arial"/>
      <family val="2"/>
    </font>
    <font>
      <b/>
      <sz val="10"/>
      <name val="Tahoma"/>
      <family val="2"/>
    </font>
    <font>
      <sz val="10"/>
      <name val="Tahoma"/>
      <family val="2"/>
    </font>
    <font>
      <i/>
      <sz val="10"/>
      <name val="Tahoma"/>
      <family val="2"/>
    </font>
    <font>
      <b/>
      <sz val="10"/>
      <color theme="1"/>
      <name val="Tahoma"/>
      <family val="2"/>
    </font>
    <font>
      <sz val="10"/>
      <color theme="1"/>
      <name val="Tahoma"/>
      <family val="2"/>
    </font>
    <font>
      <i/>
      <sz val="10"/>
      <color theme="1"/>
      <name val="Tahoma"/>
      <family val="2"/>
    </font>
    <font>
      <b/>
      <sz val="10"/>
      <name val="Tahoma"/>
      <family val="2"/>
    </font>
    <font>
      <sz val="10"/>
      <color indexed="63"/>
      <name val="Tahoma"/>
      <family val="2"/>
    </font>
    <font>
      <sz val="10"/>
      <name val="Tahoma"/>
      <family val="2"/>
    </font>
    <font>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43" fontId="1"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0" fontId="1" fillId="0" borderId="0"/>
    <xf numFmtId="0" fontId="1" fillId="0" borderId="0"/>
    <xf numFmtId="0" fontId="23" fillId="0" borderId="0"/>
    <xf numFmtId="0" fontId="23" fillId="0" borderId="0"/>
  </cellStyleXfs>
  <cellXfs count="94">
    <xf numFmtId="0" fontId="0" fillId="0" borderId="0" xfId="0"/>
    <xf numFmtId="0" fontId="3" fillId="0" borderId="0" xfId="0" applyFont="1" applyAlignment="1">
      <alignment horizontal="left"/>
    </xf>
    <xf numFmtId="0" fontId="4" fillId="0" borderId="0" xfId="0" applyFont="1" applyAlignment="1">
      <alignment horizontal="center" vertical="justify"/>
    </xf>
    <xf numFmtId="0" fontId="5" fillId="0" borderId="1" xfId="0" applyFont="1" applyBorder="1" applyAlignment="1">
      <alignment horizontal="center" vertical="justify"/>
    </xf>
    <xf numFmtId="0" fontId="6" fillId="0" borderId="1" xfId="0" applyFont="1" applyBorder="1" applyAlignment="1">
      <alignment horizontal="center" vertical="justify"/>
    </xf>
    <xf numFmtId="0" fontId="7" fillId="0" borderId="1" xfId="0" applyFont="1" applyBorder="1" applyAlignment="1">
      <alignment horizontal="left"/>
    </xf>
    <xf numFmtId="0" fontId="8" fillId="0" borderId="0" xfId="0" applyFont="1" applyAlignment="1">
      <alignment horizontal="left"/>
    </xf>
    <xf numFmtId="0" fontId="9" fillId="0" borderId="0" xfId="0" applyFont="1" applyAlignment="1">
      <alignment horizontal="center" vertical="justify"/>
    </xf>
    <xf numFmtId="0" fontId="10" fillId="0" borderId="0" xfId="0" applyFont="1" applyAlignment="1">
      <alignment horizontal="center" vertical="justify"/>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2" fillId="0" borderId="0" xfId="0" applyFont="1" applyAlignment="1">
      <alignment horizontal="left"/>
    </xf>
    <xf numFmtId="0" fontId="14" fillId="3" borderId="6" xfId="0"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164" fontId="14" fillId="3" borderId="6" xfId="1" applyNumberFormat="1" applyFont="1" applyFill="1" applyBorder="1" applyAlignment="1" applyProtection="1">
      <alignment horizontal="center" vertical="center" wrapText="1"/>
      <protection locked="0"/>
    </xf>
    <xf numFmtId="0" fontId="14" fillId="3" borderId="6" xfId="2" applyFont="1" applyFill="1" applyBorder="1" applyAlignment="1">
      <alignment horizontal="left" vertical="center" wrapText="1"/>
    </xf>
    <xf numFmtId="49" fontId="14" fillId="3" borderId="6" xfId="2" applyNumberFormat="1" applyFont="1" applyFill="1" applyBorder="1" applyAlignment="1">
      <alignment horizontal="center" vertical="center" wrapText="1"/>
    </xf>
    <xf numFmtId="0" fontId="15" fillId="3" borderId="6" xfId="2" applyFont="1" applyFill="1" applyBorder="1" applyAlignment="1">
      <alignment horizontal="center" vertical="center" wrapText="1"/>
    </xf>
    <xf numFmtId="164" fontId="14" fillId="3" borderId="6" xfId="1" applyNumberFormat="1" applyFont="1" applyFill="1" applyBorder="1" applyAlignment="1" applyProtection="1">
      <alignment horizontal="right" vertical="center" wrapText="1"/>
      <protection locked="0"/>
    </xf>
    <xf numFmtId="0" fontId="15" fillId="4" borderId="6" xfId="2" applyFont="1" applyFill="1" applyBorder="1" applyAlignment="1">
      <alignment horizontal="left" vertical="center" wrapText="1"/>
    </xf>
    <xf numFmtId="49" fontId="15" fillId="0" borderId="6" xfId="2" applyNumberFormat="1" applyFont="1" applyBorder="1" applyAlignment="1">
      <alignment horizontal="center" vertical="center" wrapText="1"/>
    </xf>
    <xf numFmtId="0" fontId="15" fillId="0" borderId="6" xfId="2" applyFont="1" applyBorder="1" applyAlignment="1">
      <alignment horizontal="center" vertical="center" wrapText="1"/>
    </xf>
    <xf numFmtId="164" fontId="15" fillId="4" borderId="6" xfId="1" applyNumberFormat="1" applyFont="1" applyFill="1" applyBorder="1" applyAlignment="1" applyProtection="1">
      <alignment horizontal="right" vertical="center" wrapText="1"/>
      <protection locked="0"/>
    </xf>
    <xf numFmtId="0" fontId="15" fillId="4" borderId="6" xfId="2" applyFont="1" applyFill="1" applyBorder="1" applyAlignment="1">
      <alignment horizontal="center" vertical="center" wrapText="1"/>
    </xf>
    <xf numFmtId="49" fontId="15" fillId="4" borderId="6" xfId="2" applyNumberFormat="1" applyFont="1" applyFill="1" applyBorder="1" applyAlignment="1">
      <alignment horizontal="center" vertical="center" wrapText="1"/>
    </xf>
    <xf numFmtId="0" fontId="15" fillId="0" borderId="6" xfId="2" applyFont="1" applyBorder="1" applyAlignment="1">
      <alignment horizontal="left" vertical="center" wrapText="1"/>
    </xf>
    <xf numFmtId="0" fontId="16" fillId="0" borderId="6" xfId="3" applyFont="1" applyBorder="1" applyAlignment="1">
      <alignment horizontal="left" vertical="center" wrapText="1"/>
    </xf>
    <xf numFmtId="49" fontId="16" fillId="0" borderId="6" xfId="2" applyNumberFormat="1" applyFont="1" applyBorder="1" applyAlignment="1">
      <alignment horizontal="center" vertical="center" wrapText="1"/>
    </xf>
    <xf numFmtId="0" fontId="16" fillId="0" borderId="6" xfId="2" applyFont="1" applyBorder="1" applyAlignment="1">
      <alignment horizontal="left" vertical="center" wrapText="1"/>
    </xf>
    <xf numFmtId="49" fontId="15" fillId="0" borderId="6" xfId="2" quotePrefix="1" applyNumberFormat="1" applyFont="1" applyBorder="1" applyAlignment="1">
      <alignment horizontal="center" vertical="center" wrapText="1"/>
    </xf>
    <xf numFmtId="49" fontId="16" fillId="0" borderId="6" xfId="2" quotePrefix="1" applyNumberFormat="1" applyFont="1" applyBorder="1" applyAlignment="1">
      <alignment horizontal="center" vertical="center" wrapText="1"/>
    </xf>
    <xf numFmtId="0" fontId="17" fillId="3" borderId="6" xfId="0" applyFont="1" applyFill="1" applyBorder="1" applyAlignment="1">
      <alignment horizontal="center" vertical="center" wrapText="1"/>
    </xf>
    <xf numFmtId="0" fontId="14" fillId="3" borderId="6" xfId="3" applyFont="1" applyFill="1" applyBorder="1" applyAlignment="1">
      <alignment horizontal="left" vertical="center" wrapText="1"/>
    </xf>
    <xf numFmtId="0" fontId="14" fillId="3" borderId="6" xfId="3" applyFont="1" applyFill="1" applyBorder="1" applyAlignment="1">
      <alignment horizontal="center" vertical="center" wrapText="1"/>
    </xf>
    <xf numFmtId="4" fontId="15" fillId="4" borderId="7" xfId="0" applyNumberFormat="1" applyFont="1" applyFill="1" applyBorder="1" applyAlignment="1" applyProtection="1">
      <alignment horizontal="left" vertical="center" wrapText="1"/>
      <protection locked="0"/>
    </xf>
    <xf numFmtId="49" fontId="15" fillId="4" borderId="7" xfId="0" applyNumberFormat="1" applyFont="1" applyFill="1" applyBorder="1" applyAlignment="1" applyProtection="1">
      <alignment horizontal="center" vertical="center" wrapText="1"/>
      <protection locked="0"/>
    </xf>
    <xf numFmtId="4" fontId="15" fillId="4" borderId="7" xfId="0" applyNumberFormat="1" applyFont="1" applyFill="1" applyBorder="1" applyAlignment="1" applyProtection="1">
      <alignment horizontal="center" vertical="center" wrapText="1"/>
      <protection locked="0"/>
    </xf>
    <xf numFmtId="164" fontId="15" fillId="0" borderId="7" xfId="0" applyNumberFormat="1" applyFont="1" applyBorder="1" applyAlignment="1" applyProtection="1">
      <alignment horizontal="right" vertical="center" wrapText="1"/>
      <protection locked="0"/>
    </xf>
    <xf numFmtId="4" fontId="16" fillId="4" borderId="7" xfId="0" applyNumberFormat="1" applyFont="1" applyFill="1" applyBorder="1" applyAlignment="1" applyProtection="1">
      <alignment horizontal="left" vertical="center" wrapText="1"/>
      <protection locked="0"/>
    </xf>
    <xf numFmtId="49" fontId="16" fillId="4" borderId="7" xfId="0" applyNumberFormat="1" applyFont="1" applyFill="1" applyBorder="1" applyAlignment="1" applyProtection="1">
      <alignment horizontal="center" vertical="center" wrapText="1"/>
      <protection locked="0"/>
    </xf>
    <xf numFmtId="165" fontId="14" fillId="3" borderId="6" xfId="1" applyNumberFormat="1" applyFont="1" applyFill="1" applyBorder="1" applyAlignment="1" applyProtection="1">
      <alignment horizontal="right" vertical="center" wrapText="1"/>
      <protection locked="0"/>
    </xf>
    <xf numFmtId="0" fontId="15" fillId="4" borderId="7" xfId="0" applyFont="1" applyFill="1" applyBorder="1" applyAlignment="1" applyProtection="1">
      <alignment horizontal="left" vertical="center" wrapText="1"/>
      <protection locked="0"/>
    </xf>
    <xf numFmtId="0" fontId="15" fillId="4" borderId="7" xfId="0" applyFont="1" applyFill="1" applyBorder="1" applyAlignment="1" applyProtection="1">
      <alignment horizontal="center" vertical="center" wrapText="1"/>
      <protection locked="0"/>
    </xf>
    <xf numFmtId="165" fontId="15" fillId="4" borderId="7" xfId="0" applyNumberFormat="1" applyFont="1" applyFill="1" applyBorder="1" applyAlignment="1" applyProtection="1">
      <alignment horizontal="right" vertical="center" wrapText="1"/>
      <protection locked="0"/>
    </xf>
    <xf numFmtId="164" fontId="14" fillId="0" borderId="7" xfId="0" applyNumberFormat="1" applyFont="1" applyBorder="1" applyAlignment="1" applyProtection="1">
      <alignment horizontal="right" vertical="center" wrapText="1"/>
      <protection locked="0"/>
    </xf>
    <xf numFmtId="0" fontId="17" fillId="4" borderId="6" xfId="0" applyFont="1" applyFill="1" applyBorder="1" applyAlignment="1">
      <alignment vertical="center" wrapText="1"/>
    </xf>
    <xf numFmtId="49" fontId="17" fillId="4" borderId="6" xfId="0" applyNumberFormat="1" applyFont="1" applyFill="1" applyBorder="1" applyAlignment="1">
      <alignment horizontal="center" vertical="center"/>
    </xf>
    <xf numFmtId="0" fontId="17" fillId="4" borderId="6" xfId="0" applyFont="1" applyFill="1" applyBorder="1" applyAlignment="1">
      <alignment vertical="center"/>
    </xf>
    <xf numFmtId="0" fontId="18" fillId="4" borderId="6" xfId="0" applyFont="1" applyFill="1" applyBorder="1" applyAlignment="1">
      <alignment vertical="center" wrapText="1"/>
    </xf>
    <xf numFmtId="49" fontId="18" fillId="4" borderId="6" xfId="0" applyNumberFormat="1" applyFont="1" applyFill="1" applyBorder="1" applyAlignment="1">
      <alignment horizontal="center" vertical="center"/>
    </xf>
    <xf numFmtId="0" fontId="18" fillId="4" borderId="6" xfId="0" applyFont="1" applyFill="1" applyBorder="1" applyAlignment="1">
      <alignment vertical="center"/>
    </xf>
    <xf numFmtId="41" fontId="18" fillId="4" borderId="6" xfId="0" applyNumberFormat="1" applyFont="1" applyFill="1" applyBorder="1" applyAlignment="1">
      <alignment horizontal="right" vertical="center" wrapText="1"/>
    </xf>
    <xf numFmtId="0" fontId="18" fillId="4" borderId="6" xfId="0" applyFont="1" applyFill="1" applyBorder="1" applyAlignment="1">
      <alignment horizontal="left" vertical="center" wrapText="1"/>
    </xf>
    <xf numFmtId="0" fontId="18" fillId="4" borderId="6" xfId="0" quotePrefix="1" applyFont="1" applyFill="1" applyBorder="1" applyAlignment="1">
      <alignment vertical="center" wrapText="1"/>
    </xf>
    <xf numFmtId="0" fontId="19" fillId="4" borderId="6" xfId="0" applyFont="1" applyFill="1" applyBorder="1" applyAlignment="1">
      <alignment vertical="center" wrapText="1"/>
    </xf>
    <xf numFmtId="49" fontId="19" fillId="4" borderId="6" xfId="0" applyNumberFormat="1" applyFont="1" applyFill="1" applyBorder="1" applyAlignment="1">
      <alignment horizontal="center" vertical="center"/>
    </xf>
    <xf numFmtId="0" fontId="16" fillId="4" borderId="6" xfId="0" applyFont="1" applyFill="1" applyBorder="1" applyAlignment="1">
      <alignment vertical="center" wrapText="1"/>
    </xf>
    <xf numFmtId="164" fontId="0" fillId="0" borderId="0" xfId="0" applyNumberFormat="1"/>
    <xf numFmtId="0" fontId="2"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vertical="justify"/>
    </xf>
    <xf numFmtId="0" fontId="17" fillId="4" borderId="6" xfId="0" applyFont="1" applyFill="1" applyBorder="1" applyAlignment="1">
      <alignment horizontal="center" vertical="center"/>
    </xf>
    <xf numFmtId="0" fontId="14" fillId="4" borderId="6" xfId="0" applyFont="1" applyFill="1" applyBorder="1" applyAlignment="1">
      <alignment horizontal="left" vertical="center" wrapText="1"/>
    </xf>
    <xf numFmtId="49" fontId="14" fillId="4" borderId="6" xfId="0" applyNumberFormat="1" applyFont="1" applyFill="1" applyBorder="1" applyAlignment="1">
      <alignment horizontal="center" vertical="center"/>
    </xf>
    <xf numFmtId="164" fontId="20" fillId="0" borderId="7" xfId="0" applyNumberFormat="1" applyFont="1" applyBorder="1" applyAlignment="1" applyProtection="1">
      <alignment horizontal="right" vertical="center" wrapText="1"/>
      <protection locked="0"/>
    </xf>
    <xf numFmtId="0" fontId="18" fillId="4" borderId="6" xfId="0" applyFont="1" applyFill="1" applyBorder="1" applyAlignment="1">
      <alignment horizontal="center" vertical="center"/>
    </xf>
    <xf numFmtId="0" fontId="15" fillId="4" borderId="6" xfId="0" applyFont="1" applyFill="1" applyBorder="1" applyAlignment="1">
      <alignment horizontal="left" vertical="center" wrapText="1"/>
    </xf>
    <xf numFmtId="49" fontId="15" fillId="4" borderId="6" xfId="0" applyNumberFormat="1" applyFont="1" applyFill="1" applyBorder="1" applyAlignment="1">
      <alignment horizontal="center" vertical="center"/>
    </xf>
    <xf numFmtId="41" fontId="21" fillId="4" borderId="6" xfId="4" applyNumberFormat="1" applyFont="1" applyFill="1" applyBorder="1" applyAlignment="1" applyProtection="1">
      <alignment horizontal="right" vertical="center" wrapText="1"/>
      <protection locked="0"/>
    </xf>
    <xf numFmtId="43" fontId="17" fillId="4" borderId="6" xfId="0" applyNumberFormat="1" applyFont="1" applyFill="1" applyBorder="1" applyAlignment="1">
      <alignment horizontal="right" vertical="center" wrapText="1"/>
    </xf>
    <xf numFmtId="0" fontId="20" fillId="0" borderId="7" xfId="0" applyFont="1" applyBorder="1" applyAlignment="1" applyProtection="1">
      <alignment horizontal="center" vertical="center" wrapText="1"/>
      <protection locked="0"/>
    </xf>
    <xf numFmtId="0" fontId="20" fillId="0" borderId="7" xfId="0" applyFont="1" applyBorder="1" applyAlignment="1" applyProtection="1">
      <alignment horizontal="left" vertical="center" wrapText="1"/>
      <protection locked="0"/>
    </xf>
    <xf numFmtId="10" fontId="20" fillId="0" borderId="7" xfId="0" applyNumberFormat="1" applyFont="1" applyBorder="1" applyAlignment="1" applyProtection="1">
      <alignment horizontal="right" vertical="center" wrapText="1"/>
      <protection locked="0"/>
    </xf>
    <xf numFmtId="4" fontId="22" fillId="0" borderId="7" xfId="0" applyNumberFormat="1" applyFont="1" applyBorder="1" applyAlignment="1" applyProtection="1">
      <alignment horizontal="center" vertical="center" wrapText="1"/>
      <protection locked="0"/>
    </xf>
    <xf numFmtId="4" fontId="22" fillId="0" borderId="7" xfId="0" applyNumberFormat="1" applyFont="1" applyBorder="1" applyAlignment="1" applyProtection="1">
      <alignment horizontal="left" vertical="center" wrapText="1"/>
      <protection locked="0"/>
    </xf>
    <xf numFmtId="0" fontId="22" fillId="0" borderId="7" xfId="0" applyFont="1" applyBorder="1" applyAlignment="1" applyProtection="1">
      <alignment horizontal="center" vertical="center" wrapText="1"/>
      <protection locked="0"/>
    </xf>
    <xf numFmtId="164" fontId="22" fillId="0" borderId="7" xfId="0" applyNumberFormat="1" applyFont="1" applyBorder="1" applyAlignment="1" applyProtection="1">
      <alignment horizontal="right" vertical="center" wrapText="1"/>
      <protection locked="0"/>
    </xf>
    <xf numFmtId="37" fontId="22" fillId="0" borderId="7" xfId="0" applyNumberFormat="1" applyFont="1" applyBorder="1" applyAlignment="1" applyProtection="1">
      <alignment horizontal="right" vertical="center" wrapText="1"/>
      <protection locked="0"/>
    </xf>
    <xf numFmtId="10" fontId="22" fillId="0" borderId="7" xfId="0" applyNumberFormat="1" applyFont="1" applyBorder="1" applyAlignment="1" applyProtection="1">
      <alignment horizontal="right" vertical="center" wrapText="1"/>
      <protection locked="0"/>
    </xf>
    <xf numFmtId="0" fontId="2" fillId="0" borderId="0" xfId="0" applyFont="1" applyAlignment="1">
      <alignment horizontal="left"/>
    </xf>
    <xf numFmtId="0" fontId="2" fillId="0" borderId="0" xfId="0" applyFont="1" applyAlignment="1">
      <alignment horizontal="right"/>
    </xf>
    <xf numFmtId="0" fontId="3" fillId="0" borderId="0" xfId="0" applyFont="1" applyAlignment="1">
      <alignment horizontal="left"/>
    </xf>
    <xf numFmtId="0" fontId="5" fillId="0" borderId="0" xfId="0" applyFont="1" applyAlignment="1">
      <alignment horizontal="center" vertical="justify"/>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0" fontId="13" fillId="3" borderId="5" xfId="0" applyFont="1" applyFill="1" applyBorder="1" applyAlignment="1">
      <alignment vertical="center"/>
    </xf>
    <xf numFmtId="164" fontId="14" fillId="3" borderId="3" xfId="1" applyNumberFormat="1" applyFont="1" applyFill="1" applyBorder="1" applyAlignment="1" applyProtection="1">
      <alignment horizontal="center" vertical="center" wrapText="1"/>
      <protection locked="0"/>
    </xf>
    <xf numFmtId="164" fontId="14" fillId="3" borderId="4" xfId="1" applyNumberFormat="1" applyFont="1" applyFill="1" applyBorder="1" applyAlignment="1" applyProtection="1">
      <alignment horizontal="center" vertical="center" wrapText="1"/>
      <protection locked="0"/>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cellXfs>
  <cellStyles count="11">
    <cellStyle name="Comma" xfId="1" builtinId="3"/>
    <cellStyle name="Comma 2" xfId="4" xr:uid="{00000000-0005-0000-0000-000001000000}"/>
    <cellStyle name="Comma 2 2" xfId="5" xr:uid="{D052AC3A-4CAE-404B-AA6E-B4CB70F2784A}"/>
    <cellStyle name="Comma 5" xfId="6" xr:uid="{7F57B3AE-9307-4C58-BF9D-5A658D396D22}"/>
    <cellStyle name="Currency [0] 2" xfId="2" xr:uid="{00000000-0005-0000-0000-000002000000}"/>
    <cellStyle name="Currency [0] 2 2" xfId="7" xr:uid="{DB653F80-7C8A-44B3-9A9F-E685EEB03C1D}"/>
    <cellStyle name="Normal" xfId="0" builtinId="0"/>
    <cellStyle name="Normal 2 2" xfId="3" xr:uid="{00000000-0005-0000-0000-000004000000}"/>
    <cellStyle name="Normal 2 2 2" xfId="8" xr:uid="{4B127E30-BEEB-4978-A176-E086DAADE490}"/>
    <cellStyle name="Normal 3 3" xfId="9" xr:uid="{06B1C26E-1987-410D-BBDC-7C744666BEE1}"/>
    <cellStyle name="Normal 5" xfId="10" xr:uid="{9FA5A912-8BFF-4F50-A959-2A76D81892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E28"/>
  <sheetViews>
    <sheetView topLeftCell="A16" workbookViewId="0">
      <selection activeCell="C28" sqref="C28"/>
    </sheetView>
  </sheetViews>
  <sheetFormatPr defaultRowHeight="12.5"/>
  <cols>
    <col min="1" max="1" width="25.453125" customWidth="1"/>
    <col min="2" max="2" width="7.36328125" customWidth="1"/>
    <col min="3" max="3" width="48.6328125" customWidth="1"/>
    <col min="4" max="4" width="36" customWidth="1"/>
    <col min="5" max="5" width="15" customWidth="1"/>
  </cols>
  <sheetData>
    <row r="1" spans="1:5" ht="15" customHeight="1">
      <c r="A1" s="11" t="s">
        <v>541</v>
      </c>
      <c r="B1" s="1"/>
      <c r="C1" s="1" t="s">
        <v>0</v>
      </c>
      <c r="D1" s="1" t="s">
        <v>0</v>
      </c>
      <c r="E1" s="1" t="s">
        <v>0</v>
      </c>
    </row>
    <row r="2" spans="1:5" ht="15" customHeight="1">
      <c r="A2" s="11" t="s">
        <v>542</v>
      </c>
      <c r="B2" s="1"/>
      <c r="C2" s="1" t="s">
        <v>0</v>
      </c>
      <c r="D2" s="1" t="s">
        <v>0</v>
      </c>
      <c r="E2" s="1" t="s">
        <v>0</v>
      </c>
    </row>
    <row r="3" spans="1:5" ht="27" customHeight="1">
      <c r="A3" s="1" t="s">
        <v>0</v>
      </c>
      <c r="B3" s="1" t="s">
        <v>0</v>
      </c>
      <c r="C3" s="2" t="s">
        <v>1</v>
      </c>
      <c r="D3" s="1"/>
      <c r="E3" s="1" t="s">
        <v>0</v>
      </c>
    </row>
    <row r="4" spans="1:5" ht="15" customHeight="1">
      <c r="A4" s="1" t="s">
        <v>0</v>
      </c>
      <c r="B4" s="1" t="s">
        <v>0</v>
      </c>
      <c r="C4" s="1" t="s">
        <v>0</v>
      </c>
      <c r="D4" s="1" t="s">
        <v>0</v>
      </c>
      <c r="E4" s="1" t="s">
        <v>0</v>
      </c>
    </row>
    <row r="5" spans="1:5" ht="15" customHeight="1">
      <c r="A5" s="1" t="s">
        <v>0</v>
      </c>
      <c r="B5" s="1" t="s">
        <v>0</v>
      </c>
      <c r="C5" s="80" t="s">
        <v>635</v>
      </c>
      <c r="D5" s="79">
        <v>2021</v>
      </c>
      <c r="E5" s="1" t="s">
        <v>0</v>
      </c>
    </row>
    <row r="6" spans="1:5" ht="15" customHeight="1">
      <c r="A6" s="1" t="s">
        <v>0</v>
      </c>
      <c r="B6" s="1" t="s">
        <v>0</v>
      </c>
      <c r="C6" s="1" t="s">
        <v>0</v>
      </c>
      <c r="D6" s="1" t="s">
        <v>0</v>
      </c>
      <c r="E6" s="1" t="s">
        <v>0</v>
      </c>
    </row>
    <row r="7" spans="1:5" ht="15" customHeight="1">
      <c r="A7" s="1" t="s">
        <v>0</v>
      </c>
      <c r="B7" s="1" t="s">
        <v>0</v>
      </c>
      <c r="C7" s="1" t="s">
        <v>0</v>
      </c>
      <c r="D7" s="1" t="s">
        <v>2</v>
      </c>
      <c r="E7" s="1" t="s">
        <v>0</v>
      </c>
    </row>
    <row r="8" spans="1:5" ht="15" customHeight="1">
      <c r="A8" s="1" t="s">
        <v>0</v>
      </c>
      <c r="B8" s="3" t="s">
        <v>3</v>
      </c>
      <c r="C8" s="3" t="s">
        <v>4</v>
      </c>
      <c r="D8" s="3" t="s">
        <v>5</v>
      </c>
      <c r="E8" s="1" t="s">
        <v>0</v>
      </c>
    </row>
    <row r="9" spans="1:5" ht="15" customHeight="1">
      <c r="A9" s="1" t="s">
        <v>0</v>
      </c>
      <c r="B9" s="4" t="s">
        <v>6</v>
      </c>
      <c r="C9" s="5" t="s">
        <v>7</v>
      </c>
      <c r="D9" s="5" t="s">
        <v>8</v>
      </c>
      <c r="E9" s="1" t="s">
        <v>0</v>
      </c>
    </row>
    <row r="10" spans="1:5" ht="15" customHeight="1">
      <c r="A10" s="1" t="s">
        <v>0</v>
      </c>
      <c r="B10" s="4" t="s">
        <v>9</v>
      </c>
      <c r="C10" s="5" t="s">
        <v>10</v>
      </c>
      <c r="D10" s="5" t="s">
        <v>11</v>
      </c>
      <c r="E10" s="1" t="s">
        <v>0</v>
      </c>
    </row>
    <row r="11" spans="1:5" ht="15" customHeight="1">
      <c r="A11" s="1" t="s">
        <v>0</v>
      </c>
      <c r="B11" s="4" t="s">
        <v>12</v>
      </c>
      <c r="C11" s="5" t="s">
        <v>13</v>
      </c>
      <c r="D11" s="5" t="s">
        <v>14</v>
      </c>
      <c r="E11" s="1" t="s">
        <v>0</v>
      </c>
    </row>
    <row r="12" spans="1:5" ht="15" customHeight="1">
      <c r="A12" s="1" t="s">
        <v>0</v>
      </c>
      <c r="B12" s="4" t="s">
        <v>15</v>
      </c>
      <c r="C12" s="5" t="s">
        <v>16</v>
      </c>
      <c r="D12" s="5" t="s">
        <v>17</v>
      </c>
      <c r="E12" s="1" t="s">
        <v>0</v>
      </c>
    </row>
    <row r="13" spans="1:5" ht="15" customHeight="1">
      <c r="A13" s="1" t="s">
        <v>0</v>
      </c>
      <c r="B13" s="4" t="s">
        <v>18</v>
      </c>
      <c r="C13" s="5" t="s">
        <v>19</v>
      </c>
      <c r="D13" s="5" t="s">
        <v>20</v>
      </c>
      <c r="E13" s="1" t="s">
        <v>0</v>
      </c>
    </row>
    <row r="14" spans="1:5" ht="15" customHeight="1">
      <c r="A14" s="1" t="s">
        <v>0</v>
      </c>
      <c r="B14" s="1" t="s">
        <v>0</v>
      </c>
      <c r="C14" s="1" t="s">
        <v>0</v>
      </c>
      <c r="D14" s="1" t="s">
        <v>0</v>
      </c>
      <c r="E14" s="1" t="s">
        <v>0</v>
      </c>
    </row>
    <row r="15" spans="1:5" ht="15" customHeight="1">
      <c r="A15" s="1" t="s">
        <v>0</v>
      </c>
      <c r="B15" s="1" t="s">
        <v>21</v>
      </c>
      <c r="C15" s="81" t="s">
        <v>22</v>
      </c>
      <c r="D15" s="81"/>
      <c r="E15" s="1" t="s">
        <v>0</v>
      </c>
    </row>
    <row r="16" spans="1:5" ht="15" customHeight="1">
      <c r="A16" s="1" t="s">
        <v>0</v>
      </c>
      <c r="B16" s="6" t="s">
        <v>0</v>
      </c>
      <c r="C16" s="81"/>
      <c r="D16" s="81"/>
      <c r="E16" s="1"/>
    </row>
    <row r="17" spans="1:5" ht="15" customHeight="1">
      <c r="A17" s="1" t="s">
        <v>0</v>
      </c>
      <c r="B17" s="1" t="s">
        <v>0</v>
      </c>
      <c r="C17" s="1" t="s">
        <v>0</v>
      </c>
      <c r="D17" s="11" t="s">
        <v>197</v>
      </c>
      <c r="E17" s="1" t="s">
        <v>0</v>
      </c>
    </row>
    <row r="18" spans="1:5" ht="15" customHeight="1">
      <c r="A18" s="1" t="s">
        <v>0</v>
      </c>
      <c r="B18" s="1" t="s">
        <v>0</v>
      </c>
      <c r="C18" s="1" t="s">
        <v>0</v>
      </c>
      <c r="D18" s="1" t="s">
        <v>0</v>
      </c>
      <c r="E18" s="1" t="s">
        <v>0</v>
      </c>
    </row>
    <row r="19" spans="1:5" ht="15" customHeight="1">
      <c r="A19" s="82"/>
      <c r="B19" s="82"/>
      <c r="C19" s="60" t="s">
        <v>23</v>
      </c>
      <c r="D19" s="82" t="s">
        <v>24</v>
      </c>
      <c r="E19" s="82" t="s">
        <v>25</v>
      </c>
    </row>
    <row r="20" spans="1:5" ht="15" customHeight="1">
      <c r="A20" s="82"/>
      <c r="B20" s="82"/>
      <c r="C20" s="60" t="s">
        <v>26</v>
      </c>
      <c r="D20" s="82"/>
      <c r="E20" s="82"/>
    </row>
    <row r="21" spans="1:5" ht="15" customHeight="1">
      <c r="A21" s="8"/>
      <c r="B21" s="8"/>
      <c r="C21" s="8" t="s">
        <v>28</v>
      </c>
      <c r="D21" s="8" t="s">
        <v>28</v>
      </c>
      <c r="E21" s="8" t="s">
        <v>27</v>
      </c>
    </row>
    <row r="22" spans="1:5" ht="15" customHeight="1">
      <c r="A22" s="7" t="s">
        <v>0</v>
      </c>
      <c r="B22" s="7" t="s">
        <v>0</v>
      </c>
      <c r="C22" s="7" t="s">
        <v>0</v>
      </c>
      <c r="D22" s="7" t="s">
        <v>0</v>
      </c>
      <c r="E22" s="7"/>
    </row>
    <row r="27" spans="1:5" ht="15">
      <c r="C27" s="59" t="s">
        <v>543</v>
      </c>
      <c r="D27" s="59" t="s">
        <v>544</v>
      </c>
      <c r="E27" s="59" t="s">
        <v>545</v>
      </c>
    </row>
    <row r="28" spans="1:5" ht="15.5">
      <c r="C28" s="58"/>
      <c r="D28" s="58"/>
      <c r="E28" s="58"/>
    </row>
  </sheetData>
  <mergeCells count="5">
    <mergeCell ref="C15:D15"/>
    <mergeCell ref="C16:D16"/>
    <mergeCell ref="A19:B20"/>
    <mergeCell ref="D19:D20"/>
    <mergeCell ref="E19:E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J62"/>
  <sheetViews>
    <sheetView zoomScaleNormal="100" workbookViewId="0">
      <selection activeCell="D5" sqref="D5"/>
    </sheetView>
  </sheetViews>
  <sheetFormatPr defaultRowHeight="12.5"/>
  <cols>
    <col min="1" max="1" width="68.1796875" bestFit="1" customWidth="1"/>
    <col min="2" max="2" width="8.81640625" bestFit="1" customWidth="1"/>
    <col min="3" max="3" width="8.08984375" bestFit="1" customWidth="1"/>
    <col min="4" max="7" width="28.54296875" customWidth="1"/>
    <col min="8" max="10" width="6.90625" customWidth="1"/>
  </cols>
  <sheetData>
    <row r="1" spans="1:10" ht="28.25" customHeight="1">
      <c r="A1" s="83" t="s">
        <v>198</v>
      </c>
      <c r="B1" s="85" t="s">
        <v>199</v>
      </c>
      <c r="C1" s="85" t="s">
        <v>200</v>
      </c>
      <c r="D1" s="88" t="s">
        <v>201</v>
      </c>
      <c r="E1" s="89"/>
      <c r="F1" s="88" t="s">
        <v>202</v>
      </c>
      <c r="G1" s="89"/>
      <c r="H1" s="1"/>
      <c r="I1" s="1"/>
      <c r="J1" s="1"/>
    </row>
    <row r="2" spans="1:10" ht="25">
      <c r="A2" s="84"/>
      <c r="B2" s="86"/>
      <c r="C2" s="87"/>
      <c r="D2" s="12" t="s">
        <v>291</v>
      </c>
      <c r="E2" s="13" t="s">
        <v>204</v>
      </c>
      <c r="F2" s="14" t="s">
        <v>292</v>
      </c>
      <c r="G2" s="13" t="s">
        <v>204</v>
      </c>
      <c r="H2" s="1"/>
      <c r="I2" s="1"/>
      <c r="J2" s="1"/>
    </row>
    <row r="3" spans="1:10" ht="25">
      <c r="A3" s="15" t="s">
        <v>206</v>
      </c>
      <c r="B3" s="16" t="s">
        <v>34</v>
      </c>
      <c r="C3" s="17"/>
      <c r="D3" s="18">
        <v>43989150750</v>
      </c>
      <c r="E3" s="18">
        <v>43989150750</v>
      </c>
      <c r="F3" s="18">
        <v>-9951668795</v>
      </c>
      <c r="G3" s="18">
        <v>-9951668795</v>
      </c>
      <c r="H3" s="1"/>
      <c r="I3" s="1"/>
      <c r="J3" s="1"/>
    </row>
    <row r="4" spans="1:10" ht="25">
      <c r="A4" s="19" t="s">
        <v>207</v>
      </c>
      <c r="B4" s="20" t="s">
        <v>35</v>
      </c>
      <c r="C4" s="21"/>
      <c r="D4" s="22">
        <v>873859400</v>
      </c>
      <c r="E4" s="22">
        <v>873859400</v>
      </c>
      <c r="F4" s="22">
        <v>896651958</v>
      </c>
      <c r="G4" s="22">
        <v>896651958</v>
      </c>
      <c r="H4" s="1"/>
      <c r="I4" s="1"/>
      <c r="J4" s="1"/>
    </row>
    <row r="5" spans="1:10" ht="25">
      <c r="A5" s="19" t="s">
        <v>208</v>
      </c>
      <c r="B5" s="20" t="s">
        <v>36</v>
      </c>
      <c r="C5" s="23"/>
      <c r="D5" s="22">
        <v>0</v>
      </c>
      <c r="E5" s="22">
        <v>0</v>
      </c>
      <c r="F5" s="22">
        <v>362779802</v>
      </c>
      <c r="G5" s="22">
        <v>362779802</v>
      </c>
      <c r="H5" s="1"/>
      <c r="I5" s="1"/>
      <c r="J5" s="1"/>
    </row>
    <row r="6" spans="1:10" ht="25">
      <c r="A6" s="19" t="s">
        <v>209</v>
      </c>
      <c r="B6" s="20" t="s">
        <v>210</v>
      </c>
      <c r="C6" s="23"/>
      <c r="D6" s="22">
        <v>0</v>
      </c>
      <c r="E6" s="22">
        <v>0</v>
      </c>
      <c r="F6" s="22">
        <v>148192397</v>
      </c>
      <c r="G6" s="22">
        <v>148192397</v>
      </c>
      <c r="H6" s="1"/>
      <c r="I6" s="1"/>
      <c r="J6" s="1"/>
    </row>
    <row r="7" spans="1:10" ht="25">
      <c r="A7" s="19" t="s">
        <v>211</v>
      </c>
      <c r="B7" s="20" t="s">
        <v>212</v>
      </c>
      <c r="C7" s="23"/>
      <c r="D7" s="22">
        <v>0</v>
      </c>
      <c r="E7" s="22">
        <v>0</v>
      </c>
      <c r="F7" s="22">
        <v>0</v>
      </c>
      <c r="G7" s="22">
        <v>0</v>
      </c>
      <c r="H7" s="1"/>
      <c r="I7" s="1"/>
      <c r="J7" s="1"/>
    </row>
    <row r="8" spans="1:10" ht="25">
      <c r="A8" s="19" t="s">
        <v>213</v>
      </c>
      <c r="B8" s="20" t="s">
        <v>214</v>
      </c>
      <c r="C8" s="23"/>
      <c r="D8" s="22">
        <v>0</v>
      </c>
      <c r="E8" s="22">
        <v>0</v>
      </c>
      <c r="F8" s="22">
        <v>214587405</v>
      </c>
      <c r="G8" s="22">
        <v>214587405</v>
      </c>
      <c r="H8" s="1"/>
      <c r="I8" s="1"/>
      <c r="J8" s="1"/>
    </row>
    <row r="9" spans="1:10" ht="25">
      <c r="A9" s="19" t="s">
        <v>215</v>
      </c>
      <c r="B9" s="20" t="s">
        <v>216</v>
      </c>
      <c r="C9" s="23"/>
      <c r="D9" s="22">
        <v>0</v>
      </c>
      <c r="E9" s="22">
        <v>0</v>
      </c>
      <c r="F9" s="22">
        <v>0</v>
      </c>
      <c r="G9" s="22">
        <v>0</v>
      </c>
      <c r="H9" s="1"/>
      <c r="I9" s="1"/>
      <c r="J9" s="1"/>
    </row>
    <row r="10" spans="1:10" ht="25">
      <c r="A10" s="19" t="s">
        <v>217</v>
      </c>
      <c r="B10" s="24" t="s">
        <v>37</v>
      </c>
      <c r="C10" s="23"/>
      <c r="D10" s="22">
        <v>5284288740</v>
      </c>
      <c r="E10" s="22">
        <v>5284288740</v>
      </c>
      <c r="F10" s="22">
        <v>-2938961945</v>
      </c>
      <c r="G10" s="22">
        <v>-2938961945</v>
      </c>
      <c r="H10" s="1"/>
      <c r="I10" s="1"/>
      <c r="J10" s="1"/>
    </row>
    <row r="11" spans="1:10" ht="25">
      <c r="A11" s="19" t="s">
        <v>218</v>
      </c>
      <c r="B11" s="24" t="s">
        <v>38</v>
      </c>
      <c r="C11" s="23"/>
      <c r="D11" s="22">
        <v>37831002610</v>
      </c>
      <c r="E11" s="22">
        <v>37831002610</v>
      </c>
      <c r="F11" s="22">
        <v>-8272138610</v>
      </c>
      <c r="G11" s="22">
        <v>-8272138610</v>
      </c>
      <c r="H11" s="1"/>
      <c r="I11" s="1"/>
      <c r="J11" s="1"/>
    </row>
    <row r="12" spans="1:10" ht="25">
      <c r="A12" s="19" t="s">
        <v>219</v>
      </c>
      <c r="B12" s="24" t="s">
        <v>39</v>
      </c>
      <c r="C12" s="23"/>
      <c r="D12" s="22">
        <v>0</v>
      </c>
      <c r="E12" s="22">
        <v>0</v>
      </c>
      <c r="F12" s="22">
        <v>0</v>
      </c>
      <c r="G12" s="22">
        <v>0</v>
      </c>
      <c r="H12" s="1"/>
      <c r="I12" s="1"/>
      <c r="J12" s="1"/>
    </row>
    <row r="13" spans="1:10" ht="25">
      <c r="A13" s="19" t="s">
        <v>220</v>
      </c>
      <c r="B13" s="24" t="s">
        <v>40</v>
      </c>
      <c r="C13" s="23"/>
      <c r="D13" s="22">
        <v>0</v>
      </c>
      <c r="E13" s="22">
        <v>0</v>
      </c>
      <c r="F13" s="22">
        <v>0</v>
      </c>
      <c r="G13" s="22">
        <v>0</v>
      </c>
      <c r="H13" s="1"/>
      <c r="I13" s="1"/>
      <c r="J13" s="1"/>
    </row>
    <row r="14" spans="1:10" ht="25">
      <c r="A14" s="19" t="s">
        <v>221</v>
      </c>
      <c r="B14" s="24" t="s">
        <v>41</v>
      </c>
      <c r="C14" s="23"/>
      <c r="D14" s="22">
        <v>0</v>
      </c>
      <c r="E14" s="22">
        <v>0</v>
      </c>
      <c r="F14" s="22">
        <v>0</v>
      </c>
      <c r="G14" s="22">
        <v>0</v>
      </c>
      <c r="H14" s="1"/>
      <c r="I14" s="1"/>
      <c r="J14" s="1"/>
    </row>
    <row r="15" spans="1:10" ht="50">
      <c r="A15" s="19" t="s">
        <v>222</v>
      </c>
      <c r="B15" s="24" t="s">
        <v>42</v>
      </c>
      <c r="C15" s="23"/>
      <c r="D15" s="22">
        <v>0</v>
      </c>
      <c r="E15" s="22">
        <v>0</v>
      </c>
      <c r="F15" s="22">
        <v>0</v>
      </c>
      <c r="G15" s="22">
        <v>0</v>
      </c>
      <c r="H15" s="1"/>
      <c r="I15" s="1"/>
      <c r="J15" s="1"/>
    </row>
    <row r="16" spans="1:10" ht="25">
      <c r="A16" s="15" t="s">
        <v>223</v>
      </c>
      <c r="B16" s="16" t="s">
        <v>43</v>
      </c>
      <c r="C16" s="17"/>
      <c r="D16" s="18">
        <v>494471606</v>
      </c>
      <c r="E16" s="18">
        <v>494471606</v>
      </c>
      <c r="F16" s="18">
        <v>74015192</v>
      </c>
      <c r="G16" s="18">
        <v>74015192</v>
      </c>
      <c r="H16" s="1"/>
      <c r="I16" s="1"/>
      <c r="J16" s="1"/>
    </row>
    <row r="17" spans="1:10" ht="25">
      <c r="A17" s="19" t="s">
        <v>224</v>
      </c>
      <c r="B17" s="24" t="s">
        <v>44</v>
      </c>
      <c r="C17" s="23"/>
      <c r="D17" s="22">
        <v>494471606</v>
      </c>
      <c r="E17" s="22">
        <v>494471606</v>
      </c>
      <c r="F17" s="22">
        <v>74015192</v>
      </c>
      <c r="G17" s="22">
        <v>74015192</v>
      </c>
      <c r="H17" s="1"/>
      <c r="I17" s="1"/>
      <c r="J17" s="1"/>
    </row>
    <row r="18" spans="1:10" ht="25">
      <c r="A18" s="25" t="s">
        <v>225</v>
      </c>
      <c r="B18" s="20" t="s">
        <v>226</v>
      </c>
      <c r="C18" s="21"/>
      <c r="D18" s="22">
        <v>494196669</v>
      </c>
      <c r="E18" s="22">
        <v>494196669</v>
      </c>
      <c r="F18" s="22">
        <v>73576851</v>
      </c>
      <c r="G18" s="22">
        <v>73576851</v>
      </c>
      <c r="H18" s="1"/>
      <c r="I18" s="1"/>
      <c r="J18" s="1"/>
    </row>
    <row r="19" spans="1:10" ht="25">
      <c r="A19" s="25" t="s">
        <v>227</v>
      </c>
      <c r="B19" s="20" t="s">
        <v>228</v>
      </c>
      <c r="C19" s="21"/>
      <c r="D19" s="22">
        <v>274937</v>
      </c>
      <c r="E19" s="22">
        <v>274937</v>
      </c>
      <c r="F19" s="22">
        <v>438341</v>
      </c>
      <c r="G19" s="22">
        <v>438341</v>
      </c>
      <c r="H19" s="1"/>
      <c r="I19" s="1"/>
      <c r="J19" s="1"/>
    </row>
    <row r="20" spans="1:10" ht="25">
      <c r="A20" s="25" t="s">
        <v>229</v>
      </c>
      <c r="B20" s="20" t="s">
        <v>45</v>
      </c>
      <c r="C20" s="23"/>
      <c r="D20" s="22">
        <v>0</v>
      </c>
      <c r="E20" s="22">
        <v>0</v>
      </c>
      <c r="F20" s="22">
        <v>0</v>
      </c>
      <c r="G20" s="22">
        <v>0</v>
      </c>
      <c r="H20" s="1"/>
      <c r="I20" s="1"/>
      <c r="J20" s="1"/>
    </row>
    <row r="21" spans="1:10" ht="25">
      <c r="A21" s="25" t="s">
        <v>230</v>
      </c>
      <c r="B21" s="20" t="s">
        <v>46</v>
      </c>
      <c r="C21" s="23"/>
      <c r="D21" s="22">
        <v>0</v>
      </c>
      <c r="E21" s="22">
        <v>0</v>
      </c>
      <c r="F21" s="22">
        <v>0</v>
      </c>
      <c r="G21" s="22">
        <v>0</v>
      </c>
      <c r="H21" s="1"/>
      <c r="I21" s="1"/>
      <c r="J21" s="1"/>
    </row>
    <row r="22" spans="1:10" ht="37.5">
      <c r="A22" s="25" t="s">
        <v>231</v>
      </c>
      <c r="B22" s="20" t="s">
        <v>47</v>
      </c>
      <c r="C22" s="23"/>
      <c r="D22" s="22">
        <v>0</v>
      </c>
      <c r="E22" s="22">
        <v>0</v>
      </c>
      <c r="F22" s="22">
        <v>0</v>
      </c>
      <c r="G22" s="22">
        <v>0</v>
      </c>
      <c r="H22" s="1"/>
      <c r="I22" s="1"/>
      <c r="J22" s="1"/>
    </row>
    <row r="23" spans="1:10" ht="25">
      <c r="A23" s="25" t="s">
        <v>232</v>
      </c>
      <c r="B23" s="20" t="s">
        <v>48</v>
      </c>
      <c r="C23" s="23"/>
      <c r="D23" s="22">
        <v>0</v>
      </c>
      <c r="E23" s="22">
        <v>0</v>
      </c>
      <c r="F23" s="22">
        <v>0</v>
      </c>
      <c r="G23" s="22">
        <v>0</v>
      </c>
      <c r="H23" s="1"/>
      <c r="I23" s="1"/>
      <c r="J23" s="1"/>
    </row>
    <row r="24" spans="1:10" ht="25">
      <c r="A24" s="15" t="s">
        <v>233</v>
      </c>
      <c r="B24" s="16" t="s">
        <v>49</v>
      </c>
      <c r="C24" s="17"/>
      <c r="D24" s="18">
        <v>1818051399</v>
      </c>
      <c r="E24" s="18">
        <v>1818051399</v>
      </c>
      <c r="F24" s="18">
        <v>1529162109</v>
      </c>
      <c r="G24" s="18">
        <v>1529162109</v>
      </c>
      <c r="H24" s="1"/>
      <c r="I24" s="1"/>
      <c r="J24" s="1"/>
    </row>
    <row r="25" spans="1:10" ht="25">
      <c r="A25" s="25" t="s">
        <v>234</v>
      </c>
      <c r="B25" s="20" t="s">
        <v>50</v>
      </c>
      <c r="C25" s="23"/>
      <c r="D25" s="22">
        <v>846980599</v>
      </c>
      <c r="E25" s="22">
        <v>846980599</v>
      </c>
      <c r="F25" s="22">
        <v>685883810</v>
      </c>
      <c r="G25" s="22">
        <v>685883810</v>
      </c>
      <c r="H25" s="1"/>
      <c r="I25" s="1"/>
      <c r="J25" s="1"/>
    </row>
    <row r="26" spans="1:10" ht="25">
      <c r="A26" s="25" t="s">
        <v>235</v>
      </c>
      <c r="B26" s="20" t="s">
        <v>51</v>
      </c>
      <c r="C26" s="21"/>
      <c r="D26" s="22">
        <v>147407613</v>
      </c>
      <c r="E26" s="22">
        <v>147407613</v>
      </c>
      <c r="F26" s="22">
        <v>82233858</v>
      </c>
      <c r="G26" s="22">
        <v>82233858</v>
      </c>
      <c r="H26" s="1"/>
      <c r="I26" s="1"/>
      <c r="J26" s="1"/>
    </row>
    <row r="27" spans="1:10" ht="25">
      <c r="A27" s="26" t="s">
        <v>236</v>
      </c>
      <c r="B27" s="27" t="s">
        <v>237</v>
      </c>
      <c r="C27" s="21"/>
      <c r="D27" s="22">
        <v>71264474</v>
      </c>
      <c r="E27" s="22">
        <v>71264474</v>
      </c>
      <c r="F27" s="22">
        <v>69000000</v>
      </c>
      <c r="G27" s="22">
        <v>69000000</v>
      </c>
      <c r="H27" s="1"/>
      <c r="I27" s="1"/>
      <c r="J27" s="1"/>
    </row>
    <row r="28" spans="1:10" ht="25">
      <c r="A28" s="26" t="s">
        <v>238</v>
      </c>
      <c r="B28" s="27" t="s">
        <v>239</v>
      </c>
      <c r="C28" s="21"/>
      <c r="D28" s="22">
        <v>73640000</v>
      </c>
      <c r="E28" s="22">
        <v>73640000</v>
      </c>
      <c r="F28" s="22">
        <v>10860000</v>
      </c>
      <c r="G28" s="22">
        <v>10860000</v>
      </c>
      <c r="H28" s="1"/>
      <c r="I28" s="1"/>
      <c r="J28" s="1"/>
    </row>
    <row r="29" spans="1:10" ht="50">
      <c r="A29" s="26" t="s">
        <v>240</v>
      </c>
      <c r="B29" s="27" t="s">
        <v>241</v>
      </c>
      <c r="C29" s="21"/>
      <c r="D29" s="22">
        <v>2503139</v>
      </c>
      <c r="E29" s="22">
        <v>2503139</v>
      </c>
      <c r="F29" s="22">
        <v>2373858</v>
      </c>
      <c r="G29" s="22">
        <v>2373858</v>
      </c>
      <c r="H29" s="1"/>
      <c r="I29" s="1"/>
      <c r="J29" s="1"/>
    </row>
    <row r="30" spans="1:10" ht="25">
      <c r="A30" s="25" t="s">
        <v>242</v>
      </c>
      <c r="B30" s="20" t="s">
        <v>52</v>
      </c>
      <c r="C30" s="21"/>
      <c r="D30" s="22">
        <v>108900000</v>
      </c>
      <c r="E30" s="22">
        <v>108900000</v>
      </c>
      <c r="F30" s="22">
        <v>108900000</v>
      </c>
      <c r="G30" s="22">
        <v>108900000</v>
      </c>
      <c r="H30" s="1"/>
      <c r="I30" s="1"/>
      <c r="J30" s="1"/>
    </row>
    <row r="31" spans="1:10" ht="25">
      <c r="A31" s="25" t="s">
        <v>243</v>
      </c>
      <c r="B31" s="20" t="s">
        <v>53</v>
      </c>
      <c r="C31" s="21"/>
      <c r="D31" s="22">
        <v>395175000</v>
      </c>
      <c r="E31" s="22">
        <v>395175000</v>
      </c>
      <c r="F31" s="22">
        <v>395175000</v>
      </c>
      <c r="G31" s="22">
        <v>395175000</v>
      </c>
      <c r="H31" s="1"/>
      <c r="I31" s="1"/>
      <c r="J31" s="1"/>
    </row>
    <row r="32" spans="1:10" ht="25">
      <c r="A32" s="25" t="s">
        <v>244</v>
      </c>
      <c r="B32" s="20" t="s">
        <v>54</v>
      </c>
      <c r="C32" s="21"/>
      <c r="D32" s="22">
        <v>66000000</v>
      </c>
      <c r="E32" s="22">
        <v>66000000</v>
      </c>
      <c r="F32" s="22">
        <v>66000000</v>
      </c>
      <c r="G32" s="22">
        <v>66000000</v>
      </c>
      <c r="H32" s="1"/>
      <c r="I32" s="1"/>
      <c r="J32" s="1"/>
    </row>
    <row r="33" spans="1:10" ht="25">
      <c r="A33" s="25" t="s">
        <v>245</v>
      </c>
      <c r="B33" s="20" t="s">
        <v>55</v>
      </c>
      <c r="C33" s="21"/>
      <c r="D33" s="22">
        <v>0</v>
      </c>
      <c r="E33" s="22">
        <v>0</v>
      </c>
      <c r="F33" s="22">
        <v>0</v>
      </c>
      <c r="G33" s="22">
        <v>0</v>
      </c>
      <c r="H33" s="1"/>
      <c r="I33" s="1"/>
      <c r="J33" s="1"/>
    </row>
    <row r="34" spans="1:10" ht="37.5">
      <c r="A34" s="28" t="s">
        <v>246</v>
      </c>
      <c r="B34" s="27" t="s">
        <v>247</v>
      </c>
      <c r="C34" s="21"/>
      <c r="D34" s="22">
        <v>0</v>
      </c>
      <c r="E34" s="22">
        <v>0</v>
      </c>
      <c r="F34" s="22">
        <v>0</v>
      </c>
      <c r="G34" s="22">
        <v>0</v>
      </c>
      <c r="H34" s="1"/>
      <c r="I34" s="1"/>
      <c r="J34" s="1"/>
    </row>
    <row r="35" spans="1:10" ht="25">
      <c r="A35" s="28" t="s">
        <v>248</v>
      </c>
      <c r="B35" s="27" t="s">
        <v>249</v>
      </c>
      <c r="C35" s="21"/>
      <c r="D35" s="22">
        <v>0</v>
      </c>
      <c r="E35" s="22">
        <v>0</v>
      </c>
      <c r="F35" s="22">
        <v>0</v>
      </c>
      <c r="G35" s="22">
        <v>0</v>
      </c>
      <c r="H35" s="1"/>
      <c r="I35" s="1"/>
      <c r="J35" s="1"/>
    </row>
    <row r="36" spans="1:10" ht="25">
      <c r="A36" s="25" t="s">
        <v>250</v>
      </c>
      <c r="B36" s="20" t="s">
        <v>56</v>
      </c>
      <c r="C36" s="21"/>
      <c r="D36" s="22">
        <v>0</v>
      </c>
      <c r="E36" s="22">
        <v>0</v>
      </c>
      <c r="F36" s="22">
        <v>0</v>
      </c>
      <c r="G36" s="22">
        <v>0</v>
      </c>
      <c r="H36" s="1"/>
      <c r="I36" s="1"/>
      <c r="J36" s="1"/>
    </row>
    <row r="37" spans="1:10" ht="25">
      <c r="A37" s="25" t="s">
        <v>251</v>
      </c>
      <c r="B37" s="20" t="s">
        <v>57</v>
      </c>
      <c r="C37" s="21"/>
      <c r="D37" s="22">
        <v>32728767</v>
      </c>
      <c r="E37" s="22">
        <v>32728767</v>
      </c>
      <c r="F37" s="22">
        <v>27349727</v>
      </c>
      <c r="G37" s="22">
        <v>27349727</v>
      </c>
      <c r="H37" s="1"/>
      <c r="I37" s="1"/>
      <c r="J37" s="1"/>
    </row>
    <row r="38" spans="1:10" ht="25">
      <c r="A38" s="25" t="s">
        <v>252</v>
      </c>
      <c r="B38" s="20" t="s">
        <v>58</v>
      </c>
      <c r="C38" s="21"/>
      <c r="D38" s="22">
        <v>0</v>
      </c>
      <c r="E38" s="22">
        <v>0</v>
      </c>
      <c r="F38" s="22">
        <v>0</v>
      </c>
      <c r="G38" s="22">
        <v>0</v>
      </c>
      <c r="H38" s="1"/>
      <c r="I38" s="1"/>
      <c r="J38" s="1"/>
    </row>
    <row r="39" spans="1:10" ht="25">
      <c r="A39" s="25" t="s">
        <v>253</v>
      </c>
      <c r="B39" s="29" t="s">
        <v>59</v>
      </c>
      <c r="C39" s="21"/>
      <c r="D39" s="22">
        <v>220859420</v>
      </c>
      <c r="E39" s="22">
        <v>220859420</v>
      </c>
      <c r="F39" s="22">
        <v>163619714</v>
      </c>
      <c r="G39" s="22">
        <v>163619714</v>
      </c>
    </row>
    <row r="40" spans="1:10" ht="25">
      <c r="A40" s="28" t="s">
        <v>254</v>
      </c>
      <c r="B40" s="30" t="s">
        <v>255</v>
      </c>
      <c r="C40" s="21"/>
      <c r="D40" s="22">
        <v>180000000</v>
      </c>
      <c r="E40" s="22">
        <v>180000000</v>
      </c>
      <c r="F40" s="22">
        <v>180000000</v>
      </c>
      <c r="G40" s="22">
        <v>180000000</v>
      </c>
    </row>
    <row r="41" spans="1:10" ht="25">
      <c r="A41" s="28" t="s">
        <v>256</v>
      </c>
      <c r="B41" s="30" t="s">
        <v>257</v>
      </c>
      <c r="C41" s="21"/>
      <c r="D41" s="22">
        <v>39671233</v>
      </c>
      <c r="E41" s="22">
        <v>39671233</v>
      </c>
      <c r="F41" s="22">
        <v>-23456979</v>
      </c>
      <c r="G41" s="22">
        <v>-23456979</v>
      </c>
    </row>
    <row r="42" spans="1:10" ht="25">
      <c r="A42" s="28" t="s">
        <v>258</v>
      </c>
      <c r="B42" s="30" t="s">
        <v>259</v>
      </c>
      <c r="C42" s="23"/>
      <c r="D42" s="22">
        <v>0</v>
      </c>
      <c r="E42" s="22">
        <v>0</v>
      </c>
      <c r="F42" s="22">
        <v>0</v>
      </c>
      <c r="G42" s="22">
        <v>0</v>
      </c>
    </row>
    <row r="43" spans="1:10" ht="25">
      <c r="A43" s="28" t="s">
        <v>260</v>
      </c>
      <c r="B43" s="30" t="s">
        <v>261</v>
      </c>
      <c r="C43" s="21"/>
      <c r="D43" s="22">
        <v>0</v>
      </c>
      <c r="E43" s="22">
        <v>0</v>
      </c>
      <c r="F43" s="22">
        <v>0</v>
      </c>
      <c r="G43" s="22">
        <v>0</v>
      </c>
    </row>
    <row r="44" spans="1:10" ht="25">
      <c r="A44" s="28" t="s">
        <v>262</v>
      </c>
      <c r="B44" s="30" t="s">
        <v>263</v>
      </c>
      <c r="C44" s="23"/>
      <c r="D44" s="22">
        <v>0</v>
      </c>
      <c r="E44" s="22">
        <v>0</v>
      </c>
      <c r="F44" s="22">
        <v>0</v>
      </c>
      <c r="G44" s="22">
        <v>0</v>
      </c>
    </row>
    <row r="45" spans="1:10" ht="25">
      <c r="A45" s="28" t="s">
        <v>264</v>
      </c>
      <c r="B45" s="30" t="s">
        <v>265</v>
      </c>
      <c r="C45" s="23"/>
      <c r="D45" s="22">
        <v>0</v>
      </c>
      <c r="E45" s="22">
        <v>0</v>
      </c>
      <c r="F45" s="22">
        <v>0</v>
      </c>
      <c r="G45" s="22">
        <v>0</v>
      </c>
    </row>
    <row r="46" spans="1:10" ht="25">
      <c r="A46" s="28" t="s">
        <v>266</v>
      </c>
      <c r="B46" s="30" t="s">
        <v>267</v>
      </c>
      <c r="C46" s="23"/>
      <c r="D46" s="22">
        <v>0</v>
      </c>
      <c r="E46" s="22">
        <v>0</v>
      </c>
      <c r="F46" s="22">
        <v>4221311</v>
      </c>
      <c r="G46" s="22">
        <v>4221311</v>
      </c>
    </row>
    <row r="47" spans="1:10" ht="25">
      <c r="A47" s="28" t="s">
        <v>268</v>
      </c>
      <c r="B47" s="30" t="s">
        <v>269</v>
      </c>
      <c r="C47" s="23"/>
      <c r="D47" s="22">
        <v>1188187</v>
      </c>
      <c r="E47" s="22">
        <v>1188187</v>
      </c>
      <c r="F47" s="22">
        <v>1755382</v>
      </c>
      <c r="G47" s="22">
        <v>1755382</v>
      </c>
    </row>
    <row r="48" spans="1:10" ht="25">
      <c r="A48" s="28" t="s">
        <v>270</v>
      </c>
      <c r="B48" s="30" t="s">
        <v>271</v>
      </c>
      <c r="C48" s="23"/>
      <c r="D48" s="22">
        <v>0</v>
      </c>
      <c r="E48" s="22">
        <v>0</v>
      </c>
      <c r="F48" s="22">
        <v>0</v>
      </c>
      <c r="G48" s="22">
        <v>0</v>
      </c>
    </row>
    <row r="49" spans="1:7" ht="25">
      <c r="A49" s="28" t="s">
        <v>272</v>
      </c>
      <c r="B49" s="30" t="s">
        <v>273</v>
      </c>
      <c r="C49" s="21"/>
      <c r="D49" s="22">
        <v>0</v>
      </c>
      <c r="E49" s="22">
        <v>0</v>
      </c>
      <c r="F49" s="22">
        <v>0</v>
      </c>
      <c r="G49" s="22">
        <v>0</v>
      </c>
    </row>
    <row r="50" spans="1:7" ht="25">
      <c r="A50" s="28" t="s">
        <v>274</v>
      </c>
      <c r="B50" s="30" t="s">
        <v>275</v>
      </c>
      <c r="C50" s="21"/>
      <c r="D50" s="22">
        <v>0</v>
      </c>
      <c r="E50" s="22">
        <v>0</v>
      </c>
      <c r="F50" s="22">
        <v>1100000</v>
      </c>
      <c r="G50" s="22">
        <v>1100000</v>
      </c>
    </row>
    <row r="51" spans="1:7" ht="25">
      <c r="A51" s="28" t="s">
        <v>276</v>
      </c>
      <c r="B51" s="30" t="s">
        <v>277</v>
      </c>
      <c r="C51" s="21"/>
      <c r="D51" s="22">
        <v>0</v>
      </c>
      <c r="E51" s="22">
        <v>0</v>
      </c>
      <c r="F51" s="22">
        <v>0</v>
      </c>
      <c r="G51" s="22">
        <v>0</v>
      </c>
    </row>
    <row r="52" spans="1:7" ht="25">
      <c r="A52" s="28" t="s">
        <v>278</v>
      </c>
      <c r="B52" s="30" t="s">
        <v>279</v>
      </c>
      <c r="C52" s="21"/>
      <c r="D52" s="22">
        <v>0</v>
      </c>
      <c r="E52" s="22">
        <v>0</v>
      </c>
      <c r="F52" s="22">
        <v>0</v>
      </c>
      <c r="G52" s="22">
        <v>0</v>
      </c>
    </row>
    <row r="53" spans="1:7" ht="25">
      <c r="A53" s="28" t="s">
        <v>280</v>
      </c>
      <c r="B53" s="30" t="s">
        <v>281</v>
      </c>
      <c r="C53" s="21"/>
      <c r="D53" s="22">
        <v>0</v>
      </c>
      <c r="E53" s="22">
        <v>0</v>
      </c>
      <c r="F53" s="22">
        <v>0</v>
      </c>
      <c r="G53" s="22">
        <v>0</v>
      </c>
    </row>
    <row r="54" spans="1:7" ht="37.5">
      <c r="A54" s="15" t="s">
        <v>282</v>
      </c>
      <c r="B54" s="16" t="s">
        <v>60</v>
      </c>
      <c r="C54" s="17"/>
      <c r="D54" s="18">
        <v>41676627745</v>
      </c>
      <c r="E54" s="18">
        <v>41676627745</v>
      </c>
      <c r="F54" s="18">
        <v>-11554846096</v>
      </c>
      <c r="G54" s="18">
        <v>-11554846096</v>
      </c>
    </row>
    <row r="55" spans="1:7" ht="25">
      <c r="A55" s="15" t="s">
        <v>283</v>
      </c>
      <c r="B55" s="16" t="s">
        <v>61</v>
      </c>
      <c r="C55" s="17"/>
      <c r="D55" s="18">
        <v>0</v>
      </c>
      <c r="E55" s="18">
        <v>0</v>
      </c>
      <c r="F55" s="18">
        <v>0</v>
      </c>
      <c r="G55" s="18">
        <v>0</v>
      </c>
    </row>
    <row r="56" spans="1:7" ht="25">
      <c r="A56" s="19" t="s">
        <v>284</v>
      </c>
      <c r="B56" s="24" t="s">
        <v>62</v>
      </c>
      <c r="C56" s="23"/>
      <c r="D56" s="22">
        <v>0</v>
      </c>
      <c r="E56" s="22">
        <v>0</v>
      </c>
      <c r="F56" s="22">
        <v>0</v>
      </c>
      <c r="G56" s="22">
        <v>0</v>
      </c>
    </row>
    <row r="57" spans="1:7" ht="25">
      <c r="A57" s="19" t="s">
        <v>285</v>
      </c>
      <c r="B57" s="24" t="s">
        <v>63</v>
      </c>
      <c r="C57" s="23"/>
      <c r="D57" s="22">
        <v>0</v>
      </c>
      <c r="E57" s="22">
        <v>0</v>
      </c>
      <c r="F57" s="22">
        <v>0</v>
      </c>
      <c r="G57" s="22">
        <v>0</v>
      </c>
    </row>
    <row r="58" spans="1:7" ht="37.5">
      <c r="A58" s="15" t="s">
        <v>286</v>
      </c>
      <c r="B58" s="16" t="s">
        <v>64</v>
      </c>
      <c r="C58" s="17"/>
      <c r="D58" s="18">
        <v>41676627745</v>
      </c>
      <c r="E58" s="18">
        <v>41676627745</v>
      </c>
      <c r="F58" s="18">
        <v>-11554846096</v>
      </c>
      <c r="G58" s="18">
        <v>-11554846096</v>
      </c>
    </row>
    <row r="59" spans="1:7" ht="25">
      <c r="A59" s="25" t="s">
        <v>287</v>
      </c>
      <c r="B59" s="20" t="s">
        <v>65</v>
      </c>
      <c r="C59" s="23"/>
      <c r="D59" s="22">
        <v>3845625135</v>
      </c>
      <c r="E59" s="22">
        <v>3845625135</v>
      </c>
      <c r="F59" s="22">
        <v>-3282707486</v>
      </c>
      <c r="G59" s="22">
        <v>-3282707486</v>
      </c>
    </row>
    <row r="60" spans="1:7" ht="25">
      <c r="A60" s="25" t="s">
        <v>288</v>
      </c>
      <c r="B60" s="20" t="s">
        <v>66</v>
      </c>
      <c r="C60" s="23"/>
      <c r="D60" s="22">
        <v>37831002610</v>
      </c>
      <c r="E60" s="22">
        <v>37831002610</v>
      </c>
      <c r="F60" s="22">
        <v>-8272138610</v>
      </c>
      <c r="G60" s="22">
        <v>-8272138610</v>
      </c>
    </row>
    <row r="61" spans="1:7" ht="25">
      <c r="A61" s="15" t="s">
        <v>289</v>
      </c>
      <c r="B61" s="16" t="s">
        <v>67</v>
      </c>
      <c r="C61" s="17"/>
      <c r="D61" s="18">
        <v>0</v>
      </c>
      <c r="E61" s="18">
        <v>0</v>
      </c>
      <c r="F61" s="18">
        <v>0</v>
      </c>
      <c r="G61" s="18">
        <v>0</v>
      </c>
    </row>
    <row r="62" spans="1:7" ht="37.5">
      <c r="A62" s="15" t="s">
        <v>290</v>
      </c>
      <c r="B62" s="16" t="s">
        <v>68</v>
      </c>
      <c r="C62" s="17"/>
      <c r="D62" s="18">
        <v>41676627745</v>
      </c>
      <c r="E62" s="18">
        <v>41676627745</v>
      </c>
      <c r="F62" s="18">
        <v>-11554846096</v>
      </c>
      <c r="G62" s="18">
        <v>-11554846096</v>
      </c>
    </row>
  </sheetData>
  <mergeCells count="5">
    <mergeCell ref="A1:A2"/>
    <mergeCell ref="B1:B2"/>
    <mergeCell ref="C1:C2"/>
    <mergeCell ref="D1:E1"/>
    <mergeCell ref="F1:G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E105"/>
  <sheetViews>
    <sheetView topLeftCell="A100" workbookViewId="0">
      <selection activeCell="D100" sqref="D100"/>
    </sheetView>
  </sheetViews>
  <sheetFormatPr defaultRowHeight="12.5"/>
  <cols>
    <col min="1" max="1" width="66.453125" customWidth="1"/>
    <col min="2" max="2" width="6.90625" customWidth="1"/>
    <col min="3" max="3" width="21" customWidth="1"/>
    <col min="4" max="5" width="22.6328125" customWidth="1"/>
  </cols>
  <sheetData>
    <row r="1" spans="1:5" ht="37.5">
      <c r="A1" s="31" t="s">
        <v>198</v>
      </c>
      <c r="B1" s="31" t="s">
        <v>199</v>
      </c>
      <c r="C1" s="31" t="s">
        <v>200</v>
      </c>
      <c r="D1" s="31" t="s">
        <v>293</v>
      </c>
      <c r="E1" s="31" t="s">
        <v>294</v>
      </c>
    </row>
    <row r="2" spans="1:5" ht="25">
      <c r="A2" s="32" t="s">
        <v>295</v>
      </c>
      <c r="B2" s="33" t="s">
        <v>69</v>
      </c>
      <c r="C2" s="18"/>
      <c r="D2" s="18"/>
      <c r="E2" s="18"/>
    </row>
    <row r="3" spans="1:5" ht="25">
      <c r="A3" s="34" t="s">
        <v>296</v>
      </c>
      <c r="B3" s="35" t="s">
        <v>70</v>
      </c>
      <c r="C3" s="36"/>
      <c r="D3" s="37">
        <v>37984847186</v>
      </c>
      <c r="E3" s="37">
        <v>6709281427</v>
      </c>
    </row>
    <row r="4" spans="1:5" ht="25">
      <c r="A4" s="34" t="s">
        <v>297</v>
      </c>
      <c r="B4" s="35" t="s">
        <v>71</v>
      </c>
      <c r="C4" s="36"/>
      <c r="D4" s="37">
        <v>37984847186</v>
      </c>
      <c r="E4" s="37">
        <v>6709281427</v>
      </c>
    </row>
    <row r="5" spans="1:5" ht="25">
      <c r="A5" s="38" t="s">
        <v>298</v>
      </c>
      <c r="B5" s="39" t="s">
        <v>299</v>
      </c>
      <c r="C5" s="36"/>
      <c r="D5" s="37">
        <v>5225182783</v>
      </c>
      <c r="E5" s="37">
        <v>1712218019</v>
      </c>
    </row>
    <row r="6" spans="1:5" ht="25">
      <c r="A6" s="38" t="s">
        <v>300</v>
      </c>
      <c r="B6" s="39" t="s">
        <v>301</v>
      </c>
      <c r="C6" s="36"/>
      <c r="D6" s="37">
        <v>8515474693</v>
      </c>
      <c r="E6" s="37">
        <v>1666558501</v>
      </c>
    </row>
    <row r="7" spans="1:5" ht="25">
      <c r="A7" s="38" t="s">
        <v>302</v>
      </c>
      <c r="B7" s="39" t="s">
        <v>303</v>
      </c>
      <c r="C7" s="36"/>
      <c r="D7" s="37">
        <v>24244189710</v>
      </c>
      <c r="E7" s="37">
        <v>3330504907</v>
      </c>
    </row>
    <row r="8" spans="1:5" ht="25">
      <c r="A8" s="38" t="s">
        <v>304</v>
      </c>
      <c r="B8" s="39" t="s">
        <v>305</v>
      </c>
      <c r="C8" s="36"/>
      <c r="D8" s="37">
        <v>0</v>
      </c>
      <c r="E8" s="37">
        <v>0</v>
      </c>
    </row>
    <row r="9" spans="1:5" ht="25">
      <c r="A9" s="34" t="s">
        <v>306</v>
      </c>
      <c r="B9" s="35" t="s">
        <v>72</v>
      </c>
      <c r="C9" s="36"/>
      <c r="D9" s="37">
        <v>0</v>
      </c>
      <c r="E9" s="37">
        <v>0</v>
      </c>
    </row>
    <row r="10" spans="1:5" ht="25">
      <c r="A10" s="34" t="s">
        <v>307</v>
      </c>
      <c r="B10" s="35" t="s">
        <v>73</v>
      </c>
      <c r="C10" s="36"/>
      <c r="D10" s="37">
        <v>366994580000</v>
      </c>
      <c r="E10" s="37">
        <v>72653424650</v>
      </c>
    </row>
    <row r="11" spans="1:5" ht="25">
      <c r="A11" s="34" t="s">
        <v>308</v>
      </c>
      <c r="B11" s="35" t="s">
        <v>74</v>
      </c>
      <c r="C11" s="36"/>
      <c r="D11" s="37">
        <v>366994580000</v>
      </c>
      <c r="E11" s="37">
        <v>72653424650</v>
      </c>
    </row>
    <row r="12" spans="1:5" ht="25">
      <c r="A12" s="38" t="s">
        <v>309</v>
      </c>
      <c r="B12" s="39" t="s">
        <v>310</v>
      </c>
      <c r="C12" s="36"/>
      <c r="D12" s="37">
        <v>366994580000</v>
      </c>
      <c r="E12" s="37">
        <v>72653424650</v>
      </c>
    </row>
    <row r="13" spans="1:5" ht="25">
      <c r="A13" s="38" t="s">
        <v>311</v>
      </c>
      <c r="B13" s="39" t="s">
        <v>312</v>
      </c>
      <c r="C13" s="36"/>
      <c r="D13" s="37">
        <v>0</v>
      </c>
      <c r="E13" s="37">
        <v>0</v>
      </c>
    </row>
    <row r="14" spans="1:5" ht="25">
      <c r="A14" s="38" t="s">
        <v>313</v>
      </c>
      <c r="B14" s="39" t="s">
        <v>314</v>
      </c>
      <c r="C14" s="36"/>
      <c r="D14" s="37">
        <v>0</v>
      </c>
      <c r="E14" s="37">
        <v>0</v>
      </c>
    </row>
    <row r="15" spans="1:5" ht="25">
      <c r="A15" s="38" t="s">
        <v>315</v>
      </c>
      <c r="B15" s="39" t="s">
        <v>316</v>
      </c>
      <c r="C15" s="36"/>
      <c r="D15" s="37">
        <v>0</v>
      </c>
      <c r="E15" s="37">
        <v>0</v>
      </c>
    </row>
    <row r="16" spans="1:5" ht="25">
      <c r="A16" s="38" t="s">
        <v>317</v>
      </c>
      <c r="B16" s="39" t="s">
        <v>318</v>
      </c>
      <c r="C16" s="36"/>
      <c r="D16" s="37">
        <v>0</v>
      </c>
      <c r="E16" s="37">
        <v>0</v>
      </c>
    </row>
    <row r="17" spans="1:5" ht="25">
      <c r="A17" s="38" t="s">
        <v>319</v>
      </c>
      <c r="B17" s="39" t="s">
        <v>320</v>
      </c>
      <c r="C17" s="36"/>
      <c r="D17" s="37">
        <v>0</v>
      </c>
      <c r="E17" s="37">
        <v>0</v>
      </c>
    </row>
    <row r="18" spans="1:5" ht="25">
      <c r="A18" s="38" t="s">
        <v>321</v>
      </c>
      <c r="B18" s="39" t="s">
        <v>322</v>
      </c>
      <c r="C18" s="36"/>
      <c r="D18" s="37">
        <v>0</v>
      </c>
      <c r="E18" s="37">
        <v>0</v>
      </c>
    </row>
    <row r="19" spans="1:5" ht="25">
      <c r="A19" s="38" t="s">
        <v>323</v>
      </c>
      <c r="B19" s="39" t="s">
        <v>324</v>
      </c>
      <c r="C19" s="36"/>
      <c r="D19" s="37">
        <v>0</v>
      </c>
      <c r="E19" s="37">
        <v>0</v>
      </c>
    </row>
    <row r="20" spans="1:5" ht="25">
      <c r="A20" s="38" t="s">
        <v>325</v>
      </c>
      <c r="B20" s="39" t="s">
        <v>326</v>
      </c>
      <c r="C20" s="36"/>
      <c r="D20" s="37">
        <v>0</v>
      </c>
      <c r="E20" s="37">
        <v>0</v>
      </c>
    </row>
    <row r="21" spans="1:5" ht="25">
      <c r="A21" s="38" t="s">
        <v>327</v>
      </c>
      <c r="B21" s="39" t="s">
        <v>328</v>
      </c>
      <c r="C21" s="36"/>
      <c r="D21" s="37">
        <v>0</v>
      </c>
      <c r="E21" s="37">
        <v>0</v>
      </c>
    </row>
    <row r="22" spans="1:5" ht="25">
      <c r="A22" s="34" t="s">
        <v>329</v>
      </c>
      <c r="B22" s="35" t="s">
        <v>75</v>
      </c>
      <c r="C22" s="36"/>
      <c r="D22" s="37">
        <v>0</v>
      </c>
      <c r="E22" s="37">
        <v>0</v>
      </c>
    </row>
    <row r="23" spans="1:5" ht="25">
      <c r="A23" s="34" t="s">
        <v>330</v>
      </c>
      <c r="B23" s="35" t="s">
        <v>76</v>
      </c>
      <c r="C23" s="36"/>
      <c r="D23" s="37">
        <v>265760000</v>
      </c>
      <c r="E23" s="37">
        <v>4434857881</v>
      </c>
    </row>
    <row r="24" spans="1:5" ht="25">
      <c r="A24" s="34" t="s">
        <v>331</v>
      </c>
      <c r="B24" s="35" t="s">
        <v>77</v>
      </c>
      <c r="C24" s="36"/>
      <c r="D24" s="37">
        <v>0</v>
      </c>
      <c r="E24" s="37">
        <v>3654928380</v>
      </c>
    </row>
    <row r="25" spans="1:5" ht="25">
      <c r="A25" s="38" t="s">
        <v>332</v>
      </c>
      <c r="B25" s="39" t="s">
        <v>78</v>
      </c>
      <c r="C25" s="36"/>
      <c r="D25" s="37">
        <v>0</v>
      </c>
      <c r="E25" s="37">
        <v>0</v>
      </c>
    </row>
    <row r="26" spans="1:5" ht="25">
      <c r="A26" s="34" t="s">
        <v>333</v>
      </c>
      <c r="B26" s="35" t="s">
        <v>79</v>
      </c>
      <c r="C26" s="36"/>
      <c r="D26" s="37">
        <v>265760000</v>
      </c>
      <c r="E26" s="37">
        <v>55104000</v>
      </c>
    </row>
    <row r="27" spans="1:5" ht="25">
      <c r="A27" s="34" t="s">
        <v>334</v>
      </c>
      <c r="B27" s="35" t="s">
        <v>80</v>
      </c>
      <c r="C27" s="36"/>
      <c r="D27" s="37">
        <v>0</v>
      </c>
      <c r="E27" s="37">
        <v>0</v>
      </c>
    </row>
    <row r="28" spans="1:5" ht="25">
      <c r="A28" s="38" t="s">
        <v>335</v>
      </c>
      <c r="B28" s="39" t="s">
        <v>336</v>
      </c>
      <c r="C28" s="36"/>
      <c r="D28" s="37">
        <v>0</v>
      </c>
      <c r="E28" s="37">
        <v>0</v>
      </c>
    </row>
    <row r="29" spans="1:5" ht="25">
      <c r="A29" s="38" t="s">
        <v>337</v>
      </c>
      <c r="B29" s="39" t="s">
        <v>338</v>
      </c>
      <c r="C29" s="36"/>
      <c r="D29" s="37">
        <v>0</v>
      </c>
      <c r="E29" s="37">
        <v>0</v>
      </c>
    </row>
    <row r="30" spans="1:5" ht="25">
      <c r="A30" s="38" t="s">
        <v>339</v>
      </c>
      <c r="B30" s="39" t="s">
        <v>340</v>
      </c>
      <c r="C30" s="36"/>
      <c r="D30" s="37">
        <v>0</v>
      </c>
      <c r="E30" s="37">
        <v>0</v>
      </c>
    </row>
    <row r="31" spans="1:5" ht="25">
      <c r="A31" s="38" t="s">
        <v>341</v>
      </c>
      <c r="B31" s="39" t="s">
        <v>342</v>
      </c>
      <c r="C31" s="36"/>
      <c r="D31" s="37">
        <v>0</v>
      </c>
      <c r="E31" s="37">
        <v>0</v>
      </c>
    </row>
    <row r="32" spans="1:5" ht="25">
      <c r="A32" s="38" t="s">
        <v>343</v>
      </c>
      <c r="B32" s="39" t="s">
        <v>344</v>
      </c>
      <c r="C32" s="36"/>
      <c r="D32" s="37">
        <v>0</v>
      </c>
      <c r="E32" s="37">
        <v>0</v>
      </c>
    </row>
    <row r="33" spans="1:5" ht="37.5">
      <c r="A33" s="34" t="s">
        <v>345</v>
      </c>
      <c r="B33" s="35" t="s">
        <v>81</v>
      </c>
      <c r="C33" s="36"/>
      <c r="D33" s="37">
        <v>0</v>
      </c>
      <c r="E33" s="37">
        <v>0</v>
      </c>
    </row>
    <row r="34" spans="1:5" ht="25">
      <c r="A34" s="34" t="s">
        <v>346</v>
      </c>
      <c r="B34" s="35" t="s">
        <v>82</v>
      </c>
      <c r="C34" s="36"/>
      <c r="D34" s="37">
        <v>265760000</v>
      </c>
      <c r="E34" s="37">
        <v>55104000</v>
      </c>
    </row>
    <row r="35" spans="1:5" ht="25">
      <c r="A35" s="38" t="s">
        <v>347</v>
      </c>
      <c r="B35" s="39" t="s">
        <v>348</v>
      </c>
      <c r="C35" s="36"/>
      <c r="D35" s="37">
        <v>265760000</v>
      </c>
      <c r="E35" s="37">
        <v>55104000</v>
      </c>
    </row>
    <row r="36" spans="1:5" ht="25">
      <c r="A36" s="38" t="s">
        <v>349</v>
      </c>
      <c r="B36" s="39" t="s">
        <v>350</v>
      </c>
      <c r="C36" s="36"/>
      <c r="D36" s="37">
        <v>0</v>
      </c>
      <c r="E36" s="37">
        <v>0</v>
      </c>
    </row>
    <row r="37" spans="1:5" ht="25">
      <c r="A37" s="38" t="s">
        <v>351</v>
      </c>
      <c r="B37" s="39" t="s">
        <v>352</v>
      </c>
      <c r="C37" s="36"/>
      <c r="D37" s="37">
        <v>0</v>
      </c>
      <c r="E37" s="37">
        <v>0</v>
      </c>
    </row>
    <row r="38" spans="1:5" ht="25">
      <c r="A38" s="38" t="s">
        <v>353</v>
      </c>
      <c r="B38" s="39" t="s">
        <v>354</v>
      </c>
      <c r="C38" s="36"/>
      <c r="D38" s="37">
        <v>0</v>
      </c>
      <c r="E38" s="37">
        <v>0</v>
      </c>
    </row>
    <row r="39" spans="1:5" ht="25">
      <c r="A39" s="38" t="s">
        <v>355</v>
      </c>
      <c r="B39" s="39" t="s">
        <v>356</v>
      </c>
      <c r="C39" s="36"/>
      <c r="D39" s="37">
        <v>0</v>
      </c>
      <c r="E39" s="37">
        <v>0</v>
      </c>
    </row>
    <row r="40" spans="1:5" ht="25">
      <c r="A40" s="38" t="s">
        <v>357</v>
      </c>
      <c r="B40" s="39" t="s">
        <v>358</v>
      </c>
      <c r="C40" s="36"/>
      <c r="D40" s="37">
        <v>0</v>
      </c>
      <c r="E40" s="37">
        <v>0</v>
      </c>
    </row>
    <row r="41" spans="1:5" ht="25">
      <c r="A41" s="34" t="s">
        <v>359</v>
      </c>
      <c r="B41" s="35" t="s">
        <v>83</v>
      </c>
      <c r="C41" s="36"/>
      <c r="D41" s="37">
        <v>0</v>
      </c>
      <c r="E41" s="37">
        <v>724825501</v>
      </c>
    </row>
    <row r="42" spans="1:5" ht="25">
      <c r="A42" s="38" t="s">
        <v>360</v>
      </c>
      <c r="B42" s="39" t="s">
        <v>361</v>
      </c>
      <c r="C42" s="36"/>
      <c r="D42" s="37">
        <v>0</v>
      </c>
      <c r="E42" s="37">
        <v>0</v>
      </c>
    </row>
    <row r="43" spans="1:5" ht="25">
      <c r="A43" s="38" t="s">
        <v>362</v>
      </c>
      <c r="B43" s="39" t="s">
        <v>363</v>
      </c>
      <c r="C43" s="36"/>
      <c r="D43" s="37">
        <v>0</v>
      </c>
      <c r="E43" s="37">
        <v>724825501</v>
      </c>
    </row>
    <row r="44" spans="1:5" ht="25">
      <c r="A44" s="38" t="s">
        <v>364</v>
      </c>
      <c r="B44" s="39" t="s">
        <v>365</v>
      </c>
      <c r="C44" s="36"/>
      <c r="D44" s="37">
        <v>0</v>
      </c>
      <c r="E44" s="37">
        <v>0</v>
      </c>
    </row>
    <row r="45" spans="1:5" ht="25">
      <c r="A45" s="34" t="s">
        <v>366</v>
      </c>
      <c r="B45" s="35" t="s">
        <v>84</v>
      </c>
      <c r="C45" s="36"/>
      <c r="D45" s="37">
        <v>0</v>
      </c>
      <c r="E45" s="37">
        <v>0</v>
      </c>
    </row>
    <row r="46" spans="1:5" ht="25">
      <c r="A46" s="32" t="s">
        <v>367</v>
      </c>
      <c r="B46" s="33" t="s">
        <v>85</v>
      </c>
      <c r="C46" s="18"/>
      <c r="D46" s="18">
        <v>405245187186</v>
      </c>
      <c r="E46" s="18">
        <v>83797563958</v>
      </c>
    </row>
    <row r="47" spans="1:5" ht="25">
      <c r="A47" s="32" t="s">
        <v>368</v>
      </c>
      <c r="B47" s="33" t="s">
        <v>86</v>
      </c>
      <c r="C47" s="18"/>
      <c r="D47" s="18"/>
      <c r="E47" s="18"/>
    </row>
    <row r="48" spans="1:5" ht="25">
      <c r="A48" s="34" t="s">
        <v>369</v>
      </c>
      <c r="B48" s="35" t="s">
        <v>87</v>
      </c>
      <c r="C48" s="36"/>
      <c r="D48" s="37">
        <v>0</v>
      </c>
      <c r="E48" s="37">
        <v>0</v>
      </c>
    </row>
    <row r="49" spans="1:5" ht="25">
      <c r="A49" s="38" t="s">
        <v>370</v>
      </c>
      <c r="B49" s="39" t="s">
        <v>371</v>
      </c>
      <c r="C49" s="36"/>
      <c r="D49" s="37">
        <v>0</v>
      </c>
      <c r="E49" s="37">
        <v>0</v>
      </c>
    </row>
    <row r="50" spans="1:5" ht="25">
      <c r="A50" s="38" t="s">
        <v>372</v>
      </c>
      <c r="B50" s="39" t="s">
        <v>373</v>
      </c>
      <c r="C50" s="36"/>
      <c r="D50" s="37">
        <v>0</v>
      </c>
      <c r="E50" s="37">
        <v>0</v>
      </c>
    </row>
    <row r="51" spans="1:5" ht="25">
      <c r="A51" s="34" t="s">
        <v>374</v>
      </c>
      <c r="B51" s="35" t="s">
        <v>88</v>
      </c>
      <c r="C51" s="36"/>
      <c r="D51" s="37">
        <v>0</v>
      </c>
      <c r="E51" s="37">
        <v>0</v>
      </c>
    </row>
    <row r="52" spans="1:5" ht="50">
      <c r="A52" s="34" t="s">
        <v>375</v>
      </c>
      <c r="B52" s="35" t="s">
        <v>89</v>
      </c>
      <c r="C52" s="36"/>
      <c r="D52" s="37">
        <v>457434569</v>
      </c>
      <c r="E52" s="37">
        <v>507140</v>
      </c>
    </row>
    <row r="53" spans="1:5" ht="25">
      <c r="A53" s="38" t="s">
        <v>376</v>
      </c>
      <c r="B53" s="39" t="s">
        <v>377</v>
      </c>
      <c r="C53" s="36"/>
      <c r="D53" s="37">
        <v>0</v>
      </c>
      <c r="E53" s="37">
        <v>0</v>
      </c>
    </row>
    <row r="54" spans="1:5" ht="25">
      <c r="A54" s="38" t="s">
        <v>378</v>
      </c>
      <c r="B54" s="39" t="s">
        <v>379</v>
      </c>
      <c r="C54" s="36"/>
      <c r="D54" s="37">
        <v>457434569</v>
      </c>
      <c r="E54" s="37">
        <v>507140</v>
      </c>
    </row>
    <row r="55" spans="1:5" ht="25">
      <c r="A55" s="34" t="s">
        <v>380</v>
      </c>
      <c r="B55" s="35" t="s">
        <v>90</v>
      </c>
      <c r="C55" s="36"/>
      <c r="D55" s="37">
        <v>54797630</v>
      </c>
      <c r="E55" s="37">
        <v>20203524</v>
      </c>
    </row>
    <row r="56" spans="1:5" ht="25">
      <c r="A56" s="34" t="s">
        <v>381</v>
      </c>
      <c r="B56" s="35" t="s">
        <v>91</v>
      </c>
      <c r="C56" s="36"/>
      <c r="D56" s="37">
        <v>0</v>
      </c>
      <c r="E56" s="37">
        <v>0</v>
      </c>
    </row>
    <row r="57" spans="1:5" ht="25">
      <c r="A57" s="34" t="s">
        <v>382</v>
      </c>
      <c r="B57" s="35" t="s">
        <v>92</v>
      </c>
      <c r="C57" s="36"/>
      <c r="D57" s="37">
        <v>155728767</v>
      </c>
      <c r="E57" s="37">
        <v>123000000</v>
      </c>
    </row>
    <row r="58" spans="1:5" ht="25">
      <c r="A58" s="38" t="s">
        <v>383</v>
      </c>
      <c r="B58" s="39" t="s">
        <v>384</v>
      </c>
      <c r="C58" s="36"/>
      <c r="D58" s="37">
        <v>0</v>
      </c>
      <c r="E58" s="37">
        <v>0</v>
      </c>
    </row>
    <row r="59" spans="1:5" ht="25">
      <c r="A59" s="38" t="s">
        <v>385</v>
      </c>
      <c r="B59" s="39" t="s">
        <v>386</v>
      </c>
      <c r="C59" s="36"/>
      <c r="D59" s="37">
        <v>0</v>
      </c>
      <c r="E59" s="37">
        <v>0</v>
      </c>
    </row>
    <row r="60" spans="1:5" ht="25">
      <c r="A60" s="38" t="s">
        <v>387</v>
      </c>
      <c r="B60" s="39" t="s">
        <v>388</v>
      </c>
      <c r="C60" s="36"/>
      <c r="D60" s="37">
        <v>0</v>
      </c>
      <c r="E60" s="37">
        <v>0</v>
      </c>
    </row>
    <row r="61" spans="1:5" ht="25">
      <c r="A61" s="38" t="s">
        <v>389</v>
      </c>
      <c r="B61" s="39" t="s">
        <v>390</v>
      </c>
      <c r="C61" s="36"/>
      <c r="D61" s="37">
        <v>65728767</v>
      </c>
      <c r="E61" s="37">
        <v>33000000</v>
      </c>
    </row>
    <row r="62" spans="1:5" ht="25">
      <c r="A62" s="38" t="s">
        <v>391</v>
      </c>
      <c r="B62" s="39" t="s">
        <v>392</v>
      </c>
      <c r="C62" s="36"/>
      <c r="D62" s="37">
        <v>0</v>
      </c>
      <c r="E62" s="37">
        <v>0</v>
      </c>
    </row>
    <row r="63" spans="1:5" ht="25">
      <c r="A63" s="38" t="s">
        <v>393</v>
      </c>
      <c r="B63" s="39" t="s">
        <v>394</v>
      </c>
      <c r="C63" s="36"/>
      <c r="D63" s="37">
        <v>0</v>
      </c>
      <c r="E63" s="37">
        <v>0</v>
      </c>
    </row>
    <row r="64" spans="1:5" ht="25">
      <c r="A64" s="38" t="s">
        <v>395</v>
      </c>
      <c r="B64" s="39" t="s">
        <v>396</v>
      </c>
      <c r="C64" s="36"/>
      <c r="D64" s="37">
        <v>90000000</v>
      </c>
      <c r="E64" s="37">
        <v>90000000</v>
      </c>
    </row>
    <row r="65" spans="1:5" ht="25">
      <c r="A65" s="38" t="s">
        <v>397</v>
      </c>
      <c r="B65" s="39" t="s">
        <v>398</v>
      </c>
      <c r="C65" s="36"/>
      <c r="D65" s="37">
        <v>0</v>
      </c>
      <c r="E65" s="37">
        <v>0</v>
      </c>
    </row>
    <row r="66" spans="1:5" ht="25">
      <c r="A66" s="38" t="s">
        <v>399</v>
      </c>
      <c r="B66" s="39" t="s">
        <v>400</v>
      </c>
      <c r="C66" s="36"/>
      <c r="D66" s="37">
        <v>0</v>
      </c>
      <c r="E66" s="37">
        <v>0</v>
      </c>
    </row>
    <row r="67" spans="1:5" ht="25">
      <c r="A67" s="34" t="s">
        <v>401</v>
      </c>
      <c r="B67" s="35" t="s">
        <v>93</v>
      </c>
      <c r="C67" s="36"/>
      <c r="D67" s="37">
        <v>5214482783</v>
      </c>
      <c r="E67" s="37">
        <v>576731450</v>
      </c>
    </row>
    <row r="68" spans="1:5" ht="25">
      <c r="A68" s="38" t="s">
        <v>402</v>
      </c>
      <c r="B68" s="39" t="s">
        <v>403</v>
      </c>
      <c r="C68" s="36"/>
      <c r="D68" s="37">
        <v>5214482783</v>
      </c>
      <c r="E68" s="37">
        <v>576731450</v>
      </c>
    </row>
    <row r="69" spans="1:5" ht="25">
      <c r="A69" s="38" t="s">
        <v>404</v>
      </c>
      <c r="B69" s="39" t="s">
        <v>405</v>
      </c>
      <c r="C69" s="36"/>
      <c r="D69" s="37">
        <v>0</v>
      </c>
      <c r="E69" s="37">
        <v>0</v>
      </c>
    </row>
    <row r="70" spans="1:5" ht="25">
      <c r="A70" s="34" t="s">
        <v>406</v>
      </c>
      <c r="B70" s="35" t="s">
        <v>94</v>
      </c>
      <c r="C70" s="36"/>
      <c r="D70" s="37">
        <v>8515474693</v>
      </c>
      <c r="E70" s="37">
        <v>6952624520</v>
      </c>
    </row>
    <row r="71" spans="1:5" ht="25">
      <c r="A71" s="34" t="s">
        <v>407</v>
      </c>
      <c r="B71" s="35" t="s">
        <v>95</v>
      </c>
      <c r="C71" s="36"/>
      <c r="D71" s="37">
        <v>250719572</v>
      </c>
      <c r="E71" s="37">
        <v>108300000</v>
      </c>
    </row>
    <row r="72" spans="1:5" ht="25">
      <c r="A72" s="38" t="s">
        <v>408</v>
      </c>
      <c r="B72" s="39" t="s">
        <v>409</v>
      </c>
      <c r="C72" s="36"/>
      <c r="D72" s="37">
        <v>122155098</v>
      </c>
      <c r="E72" s="37">
        <v>0</v>
      </c>
    </row>
    <row r="73" spans="1:5" ht="25">
      <c r="A73" s="38" t="s">
        <v>410</v>
      </c>
      <c r="B73" s="39" t="s">
        <v>411</v>
      </c>
      <c r="C73" s="36"/>
      <c r="D73" s="37">
        <v>40014474</v>
      </c>
      <c r="E73" s="37">
        <v>19750000</v>
      </c>
    </row>
    <row r="74" spans="1:5" ht="25">
      <c r="A74" s="38" t="s">
        <v>236</v>
      </c>
      <c r="B74" s="39" t="s">
        <v>412</v>
      </c>
      <c r="C74" s="36"/>
      <c r="D74" s="37">
        <v>13764474</v>
      </c>
      <c r="E74" s="37">
        <v>11500000</v>
      </c>
    </row>
    <row r="75" spans="1:5" ht="25">
      <c r="A75" s="38" t="s">
        <v>413</v>
      </c>
      <c r="B75" s="39" t="s">
        <v>414</v>
      </c>
      <c r="C75" s="36"/>
      <c r="D75" s="37">
        <v>26250000</v>
      </c>
      <c r="E75" s="37">
        <v>8250000</v>
      </c>
    </row>
    <row r="76" spans="1:5" ht="50">
      <c r="A76" s="38" t="s">
        <v>240</v>
      </c>
      <c r="B76" s="39" t="s">
        <v>415</v>
      </c>
      <c r="C76" s="36"/>
      <c r="D76" s="37">
        <v>0</v>
      </c>
      <c r="E76" s="37">
        <v>0</v>
      </c>
    </row>
    <row r="77" spans="1:5" ht="25">
      <c r="A77" s="38" t="s">
        <v>416</v>
      </c>
      <c r="B77" s="39" t="s">
        <v>417</v>
      </c>
      <c r="C77" s="36"/>
      <c r="D77" s="37">
        <v>59400000</v>
      </c>
      <c r="E77" s="37">
        <v>59400000</v>
      </c>
    </row>
    <row r="78" spans="1:5" ht="25">
      <c r="A78" s="38" t="s">
        <v>418</v>
      </c>
      <c r="B78" s="39" t="s">
        <v>419</v>
      </c>
      <c r="C78" s="36"/>
      <c r="D78" s="37">
        <v>18150000</v>
      </c>
      <c r="E78" s="37">
        <v>18150000</v>
      </c>
    </row>
    <row r="79" spans="1:5" ht="25">
      <c r="A79" s="38" t="s">
        <v>420</v>
      </c>
      <c r="B79" s="39" t="s">
        <v>421</v>
      </c>
      <c r="C79" s="36"/>
      <c r="D79" s="37">
        <v>11000000</v>
      </c>
      <c r="E79" s="37">
        <v>11000000</v>
      </c>
    </row>
    <row r="80" spans="1:5" ht="37.5">
      <c r="A80" s="38" t="s">
        <v>422</v>
      </c>
      <c r="B80" s="39" t="s">
        <v>423</v>
      </c>
      <c r="C80" s="36"/>
      <c r="D80" s="37">
        <v>0</v>
      </c>
      <c r="E80" s="37">
        <v>0</v>
      </c>
    </row>
    <row r="81" spans="1:5" ht="25">
      <c r="A81" s="38" t="s">
        <v>424</v>
      </c>
      <c r="B81" s="39" t="s">
        <v>425</v>
      </c>
      <c r="C81" s="36"/>
      <c r="D81" s="37">
        <v>0</v>
      </c>
      <c r="E81" s="37">
        <v>0</v>
      </c>
    </row>
    <row r="82" spans="1:5" ht="25">
      <c r="A82" s="34" t="s">
        <v>426</v>
      </c>
      <c r="B82" s="35" t="s">
        <v>96</v>
      </c>
      <c r="C82" s="36"/>
      <c r="D82" s="37">
        <v>39671233</v>
      </c>
      <c r="E82" s="37">
        <v>0</v>
      </c>
    </row>
    <row r="83" spans="1:5" ht="25">
      <c r="A83" s="38" t="s">
        <v>427</v>
      </c>
      <c r="B83" s="39" t="s">
        <v>428</v>
      </c>
      <c r="C83" s="36"/>
      <c r="D83" s="37">
        <v>0</v>
      </c>
      <c r="E83" s="37">
        <v>0</v>
      </c>
    </row>
    <row r="84" spans="1:5" ht="25">
      <c r="A84" s="38" t="s">
        <v>429</v>
      </c>
      <c r="B84" s="39" t="s">
        <v>430</v>
      </c>
      <c r="C84" s="36"/>
      <c r="D84" s="37">
        <v>39671233</v>
      </c>
      <c r="E84" s="37">
        <v>0</v>
      </c>
    </row>
    <row r="85" spans="1:5" ht="25">
      <c r="A85" s="38" t="s">
        <v>431</v>
      </c>
      <c r="B85" s="39" t="s">
        <v>432</v>
      </c>
      <c r="C85" s="36"/>
      <c r="D85" s="37">
        <v>0</v>
      </c>
      <c r="E85" s="37">
        <v>0</v>
      </c>
    </row>
    <row r="86" spans="1:5" ht="25">
      <c r="A86" s="38" t="s">
        <v>433</v>
      </c>
      <c r="B86" s="39" t="s">
        <v>434</v>
      </c>
      <c r="C86" s="36"/>
      <c r="D86" s="37">
        <v>0</v>
      </c>
      <c r="E86" s="37">
        <v>0</v>
      </c>
    </row>
    <row r="87" spans="1:5" ht="25">
      <c r="A87" s="38" t="s">
        <v>435</v>
      </c>
      <c r="B87" s="39" t="s">
        <v>436</v>
      </c>
      <c r="C87" s="36"/>
      <c r="D87" s="37">
        <v>0</v>
      </c>
      <c r="E87" s="37">
        <v>0</v>
      </c>
    </row>
    <row r="88" spans="1:5" ht="25">
      <c r="A88" s="32" t="s">
        <v>437</v>
      </c>
      <c r="B88" s="33" t="s">
        <v>97</v>
      </c>
      <c r="C88" s="18"/>
      <c r="D88" s="18">
        <v>14688309247</v>
      </c>
      <c r="E88" s="18">
        <v>7781366634</v>
      </c>
    </row>
    <row r="89" spans="1:5" ht="37.5">
      <c r="A89" s="32" t="s">
        <v>438</v>
      </c>
      <c r="B89" s="33" t="s">
        <v>98</v>
      </c>
      <c r="C89" s="18"/>
      <c r="D89" s="18">
        <v>390556877939</v>
      </c>
      <c r="E89" s="18">
        <v>76016197324</v>
      </c>
    </row>
    <row r="90" spans="1:5" ht="25">
      <c r="A90" s="34" t="s">
        <v>439</v>
      </c>
      <c r="B90" s="35" t="s">
        <v>99</v>
      </c>
      <c r="C90" s="36"/>
      <c r="D90" s="37">
        <v>197368645600</v>
      </c>
      <c r="E90" s="37">
        <v>50111139100</v>
      </c>
    </row>
    <row r="91" spans="1:5" ht="25">
      <c r="A91" s="34" t="s">
        <v>440</v>
      </c>
      <c r="B91" s="35" t="s">
        <v>100</v>
      </c>
      <c r="C91" s="36"/>
      <c r="D91" s="37">
        <v>694729846800</v>
      </c>
      <c r="E91" s="37">
        <v>465419737100</v>
      </c>
    </row>
    <row r="92" spans="1:5" ht="25">
      <c r="A92" s="34" t="s">
        <v>441</v>
      </c>
      <c r="B92" s="35" t="s">
        <v>101</v>
      </c>
      <c r="C92" s="36"/>
      <c r="D92" s="37">
        <v>-497361201200</v>
      </c>
      <c r="E92" s="37">
        <v>-415308598000</v>
      </c>
    </row>
    <row r="93" spans="1:5" ht="25">
      <c r="A93" s="34" t="s">
        <v>442</v>
      </c>
      <c r="B93" s="35" t="s">
        <v>102</v>
      </c>
      <c r="C93" s="36"/>
      <c r="D93" s="37">
        <v>173933302416</v>
      </c>
      <c r="E93" s="37">
        <v>48326756046</v>
      </c>
    </row>
    <row r="94" spans="1:5" ht="25">
      <c r="A94" s="34" t="s">
        <v>443</v>
      </c>
      <c r="B94" s="35" t="s">
        <v>103</v>
      </c>
      <c r="C94" s="36"/>
      <c r="D94" s="37">
        <v>19254929923</v>
      </c>
      <c r="E94" s="37">
        <v>-22421697822</v>
      </c>
    </row>
    <row r="95" spans="1:5" ht="25">
      <c r="A95" s="34" t="s">
        <v>444</v>
      </c>
      <c r="B95" s="35" t="s">
        <v>445</v>
      </c>
      <c r="C95" s="36"/>
      <c r="D95" s="37">
        <v>-22421697822</v>
      </c>
      <c r="E95" s="37">
        <v>-30543885583</v>
      </c>
    </row>
    <row r="96" spans="1:5" ht="25">
      <c r="A96" s="34" t="s">
        <v>446</v>
      </c>
      <c r="B96" s="35" t="s">
        <v>447</v>
      </c>
      <c r="C96" s="36"/>
      <c r="D96" s="37">
        <v>41676627745</v>
      </c>
      <c r="E96" s="37">
        <v>8122187761</v>
      </c>
    </row>
    <row r="97" spans="1:5" ht="37.5">
      <c r="A97" s="32" t="s">
        <v>448</v>
      </c>
      <c r="B97" s="33" t="s">
        <v>104</v>
      </c>
      <c r="C97" s="18"/>
      <c r="D97" s="40">
        <v>19788.189999999999</v>
      </c>
      <c r="E97" s="40">
        <v>15169.52</v>
      </c>
    </row>
    <row r="98" spans="1:5" ht="25">
      <c r="A98" s="32" t="s">
        <v>449</v>
      </c>
      <c r="B98" s="33" t="s">
        <v>105</v>
      </c>
      <c r="C98" s="18"/>
      <c r="D98" s="18">
        <v>0</v>
      </c>
      <c r="E98" s="18">
        <v>0</v>
      </c>
    </row>
    <row r="99" spans="1:5" ht="25">
      <c r="A99" s="34" t="s">
        <v>450</v>
      </c>
      <c r="B99" s="35" t="s">
        <v>106</v>
      </c>
      <c r="C99" s="36"/>
      <c r="D99" s="37">
        <v>0</v>
      </c>
      <c r="E99" s="37">
        <v>0</v>
      </c>
    </row>
    <row r="100" spans="1:5" ht="37.5">
      <c r="A100" s="34" t="s">
        <v>451</v>
      </c>
      <c r="B100" s="35" t="s">
        <v>107</v>
      </c>
      <c r="C100" s="36"/>
      <c r="D100" s="37">
        <v>0</v>
      </c>
      <c r="E100" s="37">
        <v>0</v>
      </c>
    </row>
    <row r="101" spans="1:5" ht="25">
      <c r="A101" s="32" t="s">
        <v>452</v>
      </c>
      <c r="B101" s="33" t="s">
        <v>108</v>
      </c>
      <c r="C101" s="18"/>
      <c r="D101" s="18"/>
      <c r="E101" s="18"/>
    </row>
    <row r="102" spans="1:5" ht="25">
      <c r="A102" s="34" t="s">
        <v>453</v>
      </c>
      <c r="B102" s="35" t="s">
        <v>109</v>
      </c>
      <c r="C102" s="36"/>
      <c r="D102" s="37">
        <v>0</v>
      </c>
      <c r="E102" s="37">
        <v>0</v>
      </c>
    </row>
    <row r="103" spans="1:5" ht="25">
      <c r="A103" s="34" t="s">
        <v>454</v>
      </c>
      <c r="B103" s="35" t="s">
        <v>110</v>
      </c>
      <c r="C103" s="36"/>
      <c r="D103" s="37">
        <v>0</v>
      </c>
      <c r="E103" s="37">
        <v>0</v>
      </c>
    </row>
    <row r="104" spans="1:5" ht="25">
      <c r="A104" s="34" t="s">
        <v>455</v>
      </c>
      <c r="B104" s="35" t="s">
        <v>111</v>
      </c>
      <c r="C104" s="36"/>
      <c r="D104" s="37">
        <v>0</v>
      </c>
      <c r="E104" s="37">
        <v>0</v>
      </c>
    </row>
    <row r="105" spans="1:5" ht="25">
      <c r="A105" s="41" t="s">
        <v>456</v>
      </c>
      <c r="B105" s="35" t="s">
        <v>112</v>
      </c>
      <c r="C105" s="42"/>
      <c r="D105" s="43">
        <v>19736864.559999999</v>
      </c>
      <c r="E105" s="43">
        <v>5011113.91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E32"/>
  <sheetViews>
    <sheetView workbookViewId="0"/>
  </sheetViews>
  <sheetFormatPr defaultRowHeight="12.5"/>
  <cols>
    <col min="1" max="1" width="84.81640625" customWidth="1"/>
    <col min="2" max="2" width="6.90625" customWidth="1"/>
    <col min="3" max="3" width="20.90625" customWidth="1"/>
    <col min="4" max="4" width="18.54296875" customWidth="1"/>
    <col min="5" max="5" width="18.90625" customWidth="1"/>
  </cols>
  <sheetData>
    <row r="1" spans="1:5" ht="15" customHeight="1">
      <c r="A1" s="9" t="s">
        <v>29</v>
      </c>
      <c r="B1" s="9" t="s">
        <v>30</v>
      </c>
      <c r="C1" s="9" t="s">
        <v>31</v>
      </c>
      <c r="D1" s="9" t="s">
        <v>32</v>
      </c>
      <c r="E1" s="9" t="s">
        <v>33</v>
      </c>
    </row>
    <row r="2" spans="1:5" ht="15" customHeight="1">
      <c r="A2" s="10" t="s">
        <v>113</v>
      </c>
      <c r="B2" s="5" t="s">
        <v>69</v>
      </c>
      <c r="C2" s="5" t="s">
        <v>0</v>
      </c>
      <c r="D2" s="5" t="s">
        <v>0</v>
      </c>
      <c r="E2" s="5" t="s">
        <v>0</v>
      </c>
    </row>
    <row r="3" spans="1:5" ht="15" customHeight="1">
      <c r="A3" s="5" t="s">
        <v>114</v>
      </c>
      <c r="B3" s="5" t="s">
        <v>34</v>
      </c>
      <c r="C3" s="5" t="s">
        <v>0</v>
      </c>
      <c r="D3" s="5" t="s">
        <v>0</v>
      </c>
      <c r="E3" s="5" t="s">
        <v>0</v>
      </c>
    </row>
    <row r="4" spans="1:5" ht="15" customHeight="1">
      <c r="A4" s="5" t="s">
        <v>115</v>
      </c>
      <c r="B4" s="5" t="s">
        <v>35</v>
      </c>
      <c r="C4" s="5" t="s">
        <v>0</v>
      </c>
      <c r="D4" s="5" t="s">
        <v>0</v>
      </c>
      <c r="E4" s="5" t="s">
        <v>0</v>
      </c>
    </row>
    <row r="5" spans="1:5" ht="15" customHeight="1">
      <c r="A5" s="5" t="s">
        <v>116</v>
      </c>
      <c r="B5" s="5" t="s">
        <v>36</v>
      </c>
      <c r="C5" s="5" t="s">
        <v>0</v>
      </c>
      <c r="D5" s="5" t="s">
        <v>0</v>
      </c>
      <c r="E5" s="5" t="s">
        <v>0</v>
      </c>
    </row>
    <row r="6" spans="1:5" ht="15" customHeight="1">
      <c r="A6" s="5" t="s">
        <v>117</v>
      </c>
      <c r="B6" s="5" t="s">
        <v>37</v>
      </c>
      <c r="C6" s="5" t="s">
        <v>0</v>
      </c>
      <c r="D6" s="5" t="s">
        <v>0</v>
      </c>
      <c r="E6" s="5" t="s">
        <v>0</v>
      </c>
    </row>
    <row r="7" spans="1:5" ht="15" customHeight="1">
      <c r="A7" s="5" t="s">
        <v>118</v>
      </c>
      <c r="B7" s="5" t="s">
        <v>38</v>
      </c>
      <c r="C7" s="5" t="s">
        <v>0</v>
      </c>
      <c r="D7" s="5" t="s">
        <v>0</v>
      </c>
      <c r="E7" s="5" t="s">
        <v>0</v>
      </c>
    </row>
    <row r="8" spans="1:5" ht="15" customHeight="1">
      <c r="A8" s="5" t="s">
        <v>119</v>
      </c>
      <c r="B8" s="5" t="s">
        <v>39</v>
      </c>
      <c r="C8" s="5" t="s">
        <v>0</v>
      </c>
      <c r="D8" s="5" t="s">
        <v>0</v>
      </c>
      <c r="E8" s="5" t="s">
        <v>0</v>
      </c>
    </row>
    <row r="9" spans="1:5" ht="15" customHeight="1">
      <c r="A9" s="5" t="s">
        <v>120</v>
      </c>
      <c r="B9" s="5" t="s">
        <v>40</v>
      </c>
      <c r="C9" s="5" t="s">
        <v>0</v>
      </c>
      <c r="D9" s="5" t="s">
        <v>0</v>
      </c>
      <c r="E9" s="5" t="s">
        <v>0</v>
      </c>
    </row>
    <row r="10" spans="1:5" ht="15" customHeight="1">
      <c r="A10" s="5" t="s">
        <v>121</v>
      </c>
      <c r="B10" s="5" t="s">
        <v>41</v>
      </c>
      <c r="C10" s="5" t="s">
        <v>0</v>
      </c>
      <c r="D10" s="5" t="s">
        <v>0</v>
      </c>
      <c r="E10" s="5" t="s">
        <v>0</v>
      </c>
    </row>
    <row r="11" spans="1:5" ht="15" customHeight="1">
      <c r="A11" s="5" t="s">
        <v>122</v>
      </c>
      <c r="B11" s="5" t="s">
        <v>42</v>
      </c>
      <c r="C11" s="5" t="s">
        <v>0</v>
      </c>
      <c r="D11" s="5" t="s">
        <v>0</v>
      </c>
      <c r="E11" s="5" t="s">
        <v>0</v>
      </c>
    </row>
    <row r="12" spans="1:5" ht="15" customHeight="1">
      <c r="A12" s="5" t="s">
        <v>123</v>
      </c>
      <c r="B12" s="5" t="s">
        <v>43</v>
      </c>
      <c r="C12" s="5" t="s">
        <v>0</v>
      </c>
      <c r="D12" s="5" t="s">
        <v>0</v>
      </c>
      <c r="E12" s="5" t="s">
        <v>0</v>
      </c>
    </row>
    <row r="13" spans="1:5" ht="15" customHeight="1">
      <c r="A13" s="5" t="s">
        <v>124</v>
      </c>
      <c r="B13" s="5" t="s">
        <v>49</v>
      </c>
      <c r="C13" s="5" t="s">
        <v>0</v>
      </c>
      <c r="D13" s="5" t="s">
        <v>0</v>
      </c>
      <c r="E13" s="5" t="s">
        <v>0</v>
      </c>
    </row>
    <row r="14" spans="1:5" ht="15" customHeight="1">
      <c r="A14" s="10" t="s">
        <v>125</v>
      </c>
      <c r="B14" s="5" t="s">
        <v>86</v>
      </c>
      <c r="C14" s="5" t="s">
        <v>0</v>
      </c>
      <c r="D14" s="5" t="s">
        <v>0</v>
      </c>
      <c r="E14" s="5" t="s">
        <v>0</v>
      </c>
    </row>
    <row r="15" spans="1:5" ht="15" customHeight="1">
      <c r="A15" s="5" t="s">
        <v>126</v>
      </c>
      <c r="B15" s="5" t="s">
        <v>127</v>
      </c>
      <c r="C15" s="5" t="s">
        <v>0</v>
      </c>
      <c r="D15" s="5" t="s">
        <v>0</v>
      </c>
      <c r="E15" s="5" t="s">
        <v>0</v>
      </c>
    </row>
    <row r="16" spans="1:5" ht="15" customHeight="1">
      <c r="A16" s="5" t="s">
        <v>128</v>
      </c>
      <c r="B16" s="5" t="s">
        <v>129</v>
      </c>
      <c r="C16" s="5" t="s">
        <v>0</v>
      </c>
      <c r="D16" s="5" t="s">
        <v>0</v>
      </c>
      <c r="E16" s="5" t="s">
        <v>0</v>
      </c>
    </row>
    <row r="17" spans="1:5" ht="15" customHeight="1">
      <c r="A17" s="5" t="s">
        <v>130</v>
      </c>
      <c r="B17" s="5" t="s">
        <v>60</v>
      </c>
      <c r="C17" s="5" t="s">
        <v>0</v>
      </c>
      <c r="D17" s="5" t="s">
        <v>0</v>
      </c>
      <c r="E17" s="5" t="s">
        <v>0</v>
      </c>
    </row>
    <row r="18" spans="1:5" ht="15" customHeight="1">
      <c r="A18" s="5" t="s">
        <v>131</v>
      </c>
      <c r="B18" s="5" t="s">
        <v>61</v>
      </c>
      <c r="C18" s="5" t="s">
        <v>0</v>
      </c>
      <c r="D18" s="5" t="s">
        <v>0</v>
      </c>
      <c r="E18" s="5" t="s">
        <v>0</v>
      </c>
    </row>
    <row r="19" spans="1:5" ht="15" customHeight="1">
      <c r="A19" s="5" t="s">
        <v>132</v>
      </c>
      <c r="B19" s="5" t="s">
        <v>133</v>
      </c>
      <c r="C19" s="5" t="s">
        <v>0</v>
      </c>
      <c r="D19" s="5" t="s">
        <v>0</v>
      </c>
      <c r="E19" s="5" t="s">
        <v>0</v>
      </c>
    </row>
    <row r="20" spans="1:5" ht="15" customHeight="1">
      <c r="A20" s="5" t="s">
        <v>134</v>
      </c>
      <c r="B20" s="5" t="s">
        <v>64</v>
      </c>
      <c r="C20" s="5" t="s">
        <v>0</v>
      </c>
      <c r="D20" s="5" t="s">
        <v>0</v>
      </c>
      <c r="E20" s="5" t="s">
        <v>0</v>
      </c>
    </row>
    <row r="21" spans="1:5" ht="15" customHeight="1">
      <c r="A21" s="10" t="s">
        <v>135</v>
      </c>
      <c r="B21" s="5" t="s">
        <v>67</v>
      </c>
      <c r="C21" s="5" t="s">
        <v>0</v>
      </c>
      <c r="D21" s="5" t="s">
        <v>0</v>
      </c>
      <c r="E21" s="5" t="s">
        <v>0</v>
      </c>
    </row>
    <row r="22" spans="1:5" ht="15" customHeight="1">
      <c r="A22" s="10" t="s">
        <v>136</v>
      </c>
      <c r="B22" s="5" t="s">
        <v>137</v>
      </c>
      <c r="C22" s="5" t="s">
        <v>0</v>
      </c>
      <c r="D22" s="5" t="s">
        <v>0</v>
      </c>
      <c r="E22" s="5" t="s">
        <v>0</v>
      </c>
    </row>
    <row r="23" spans="1:5" ht="15" customHeight="1">
      <c r="A23" s="5" t="s">
        <v>138</v>
      </c>
      <c r="B23" s="5" t="s">
        <v>139</v>
      </c>
      <c r="C23" s="5" t="s">
        <v>0</v>
      </c>
      <c r="D23" s="5" t="s">
        <v>0</v>
      </c>
      <c r="E23" s="5" t="s">
        <v>0</v>
      </c>
    </row>
    <row r="24" spans="1:5" ht="15" customHeight="1">
      <c r="A24" s="5" t="s">
        <v>140</v>
      </c>
      <c r="B24" s="5" t="s">
        <v>141</v>
      </c>
      <c r="C24" s="5" t="s">
        <v>0</v>
      </c>
      <c r="D24" s="5" t="s">
        <v>0</v>
      </c>
      <c r="E24" s="5" t="s">
        <v>0</v>
      </c>
    </row>
    <row r="25" spans="1:5" ht="15" customHeight="1">
      <c r="A25" s="5" t="s">
        <v>142</v>
      </c>
      <c r="B25" s="5" t="s">
        <v>143</v>
      </c>
      <c r="C25" s="5" t="s">
        <v>0</v>
      </c>
      <c r="D25" s="5" t="s">
        <v>0</v>
      </c>
      <c r="E25" s="5" t="s">
        <v>0</v>
      </c>
    </row>
    <row r="26" spans="1:5" ht="15" customHeight="1">
      <c r="A26" s="5" t="s">
        <v>144</v>
      </c>
      <c r="B26" s="5" t="s">
        <v>145</v>
      </c>
      <c r="C26" s="5" t="s">
        <v>0</v>
      </c>
      <c r="D26" s="5" t="s">
        <v>0</v>
      </c>
      <c r="E26" s="5" t="s">
        <v>0</v>
      </c>
    </row>
    <row r="27" spans="1:5" ht="15" customHeight="1">
      <c r="A27" s="10" t="s">
        <v>146</v>
      </c>
      <c r="B27" s="5" t="s">
        <v>147</v>
      </c>
      <c r="C27" s="5" t="s">
        <v>0</v>
      </c>
      <c r="D27" s="5" t="s">
        <v>0</v>
      </c>
      <c r="E27" s="5" t="s">
        <v>0</v>
      </c>
    </row>
    <row r="28" spans="1:5" ht="15" customHeight="1">
      <c r="A28" s="5" t="s">
        <v>148</v>
      </c>
      <c r="B28" s="5" t="s">
        <v>149</v>
      </c>
      <c r="C28" s="5"/>
      <c r="D28" s="5"/>
      <c r="E28" s="5"/>
    </row>
    <row r="29" spans="1:5" ht="15" customHeight="1">
      <c r="A29" s="5" t="s">
        <v>140</v>
      </c>
      <c r="B29" s="5" t="s">
        <v>150</v>
      </c>
      <c r="C29" s="5"/>
      <c r="D29" s="5"/>
      <c r="E29" s="5"/>
    </row>
    <row r="30" spans="1:5" ht="15" customHeight="1">
      <c r="A30" s="5" t="s">
        <v>151</v>
      </c>
      <c r="B30" s="5" t="s">
        <v>152</v>
      </c>
      <c r="C30" s="5"/>
      <c r="D30" s="5"/>
      <c r="E30" s="5"/>
    </row>
    <row r="31" spans="1:5" ht="15" customHeight="1">
      <c r="A31" s="5" t="s">
        <v>144</v>
      </c>
      <c r="B31" s="5" t="s">
        <v>153</v>
      </c>
      <c r="C31" s="5"/>
      <c r="D31" s="5"/>
      <c r="E31" s="5"/>
    </row>
    <row r="32" spans="1:5" ht="15" customHeight="1">
      <c r="A32" s="10" t="s">
        <v>154</v>
      </c>
      <c r="B32" s="5" t="s">
        <v>155</v>
      </c>
      <c r="C32" s="5"/>
      <c r="D32" s="5"/>
      <c r="E32" s="5"/>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F10"/>
  <sheetViews>
    <sheetView workbookViewId="0">
      <selection activeCell="E9" sqref="E9"/>
    </sheetView>
  </sheetViews>
  <sheetFormatPr defaultRowHeight="12.5"/>
  <cols>
    <col min="1" max="1" width="3.36328125" bestFit="1" customWidth="1"/>
    <col min="2" max="2" width="4.6328125" bestFit="1" customWidth="1"/>
    <col min="3" max="3" width="79.90625" bestFit="1" customWidth="1"/>
    <col min="4" max="4" width="13.08984375" customWidth="1"/>
    <col min="5" max="6" width="27.54296875" customWidth="1"/>
  </cols>
  <sheetData>
    <row r="1" spans="1:6" ht="26.4" customHeight="1">
      <c r="A1" s="90" t="s">
        <v>457</v>
      </c>
      <c r="B1" s="91"/>
      <c r="C1" s="31" t="s">
        <v>458</v>
      </c>
      <c r="D1" s="31" t="s">
        <v>199</v>
      </c>
      <c r="E1" s="31" t="s">
        <v>203</v>
      </c>
      <c r="F1" s="31" t="s">
        <v>205</v>
      </c>
    </row>
    <row r="2" spans="1:6" ht="25">
      <c r="A2" s="61" t="s">
        <v>69</v>
      </c>
      <c r="B2" s="61"/>
      <c r="C2" s="62" t="s">
        <v>459</v>
      </c>
      <c r="D2" s="63" t="s">
        <v>156</v>
      </c>
      <c r="E2" s="64">
        <v>76016197324</v>
      </c>
      <c r="F2" s="64">
        <v>90056247205</v>
      </c>
    </row>
    <row r="3" spans="1:6" ht="50">
      <c r="A3" s="61" t="s">
        <v>86</v>
      </c>
      <c r="B3" s="61"/>
      <c r="C3" s="62" t="s">
        <v>460</v>
      </c>
      <c r="D3" s="63" t="s">
        <v>157</v>
      </c>
      <c r="E3" s="64">
        <v>41676627745</v>
      </c>
      <c r="F3" s="64">
        <v>-11554846096</v>
      </c>
    </row>
    <row r="4" spans="1:6" ht="25">
      <c r="A4" s="92"/>
      <c r="B4" s="65" t="s">
        <v>158</v>
      </c>
      <c r="C4" s="66" t="s">
        <v>461</v>
      </c>
      <c r="D4" s="67" t="s">
        <v>159</v>
      </c>
      <c r="E4" s="68">
        <v>41676627745</v>
      </c>
      <c r="F4" s="68">
        <v>-11554846096</v>
      </c>
    </row>
    <row r="5" spans="1:6" ht="25">
      <c r="A5" s="93"/>
      <c r="B5" s="65" t="s">
        <v>160</v>
      </c>
      <c r="C5" s="66" t="s">
        <v>462</v>
      </c>
      <c r="D5" s="67" t="s">
        <v>161</v>
      </c>
      <c r="E5" s="68">
        <v>0</v>
      </c>
      <c r="F5" s="68">
        <v>0</v>
      </c>
    </row>
    <row r="6" spans="1:6" ht="25">
      <c r="A6" s="61" t="s">
        <v>162</v>
      </c>
      <c r="B6" s="61"/>
      <c r="C6" s="62" t="s">
        <v>463</v>
      </c>
      <c r="D6" s="63" t="s">
        <v>163</v>
      </c>
      <c r="E6" s="64">
        <v>272864052870</v>
      </c>
      <c r="F6" s="64">
        <v>-11030437030</v>
      </c>
    </row>
    <row r="7" spans="1:6" ht="25">
      <c r="A7" s="92"/>
      <c r="B7" s="65" t="s">
        <v>164</v>
      </c>
      <c r="C7" s="66" t="s">
        <v>464</v>
      </c>
      <c r="D7" s="67" t="s">
        <v>165</v>
      </c>
      <c r="E7" s="68">
        <v>417332911827</v>
      </c>
      <c r="F7" s="68">
        <v>6355990295</v>
      </c>
    </row>
    <row r="8" spans="1:6" ht="25">
      <c r="A8" s="93"/>
      <c r="B8" s="65" t="s">
        <v>166</v>
      </c>
      <c r="C8" s="66" t="s">
        <v>465</v>
      </c>
      <c r="D8" s="67" t="s">
        <v>167</v>
      </c>
      <c r="E8" s="68">
        <v>-144468858957</v>
      </c>
      <c r="F8" s="68">
        <v>-17386427325</v>
      </c>
    </row>
    <row r="9" spans="1:6" ht="37.5">
      <c r="A9" s="61" t="s">
        <v>168</v>
      </c>
      <c r="B9" s="61"/>
      <c r="C9" s="62" t="s">
        <v>466</v>
      </c>
      <c r="D9" s="63" t="s">
        <v>169</v>
      </c>
      <c r="E9" s="64">
        <v>390556877939</v>
      </c>
      <c r="F9" s="64">
        <v>67470964079</v>
      </c>
    </row>
    <row r="10" spans="1:6" ht="25">
      <c r="A10" s="61" t="s">
        <v>180</v>
      </c>
      <c r="B10" s="61"/>
      <c r="C10" s="62" t="s">
        <v>574</v>
      </c>
      <c r="D10" s="63" t="s">
        <v>575</v>
      </c>
      <c r="E10" s="69">
        <v>19788.189999999999</v>
      </c>
      <c r="F10" s="69">
        <v>11494.05</v>
      </c>
    </row>
  </sheetData>
  <mergeCells count="3">
    <mergeCell ref="A1:B1"/>
    <mergeCell ref="A4:A5"/>
    <mergeCell ref="A7:A8"/>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I61"/>
  <sheetViews>
    <sheetView tabSelected="1" topLeftCell="A46" workbookViewId="0">
      <selection activeCell="C53" sqref="C53"/>
    </sheetView>
  </sheetViews>
  <sheetFormatPr defaultRowHeight="12.5"/>
  <cols>
    <col min="1" max="1" width="6.90625" customWidth="1"/>
    <col min="2" max="2" width="41.08984375" customWidth="1"/>
    <col min="3" max="3" width="15.6328125" customWidth="1"/>
    <col min="4" max="4" width="12.54296875" bestFit="1" customWidth="1"/>
    <col min="5" max="5" width="29.453125" customWidth="1"/>
    <col min="6" max="6" width="18.6328125" bestFit="1" customWidth="1"/>
    <col min="7" max="7" width="29.6328125" customWidth="1"/>
    <col min="8" max="8" width="15.08984375" bestFit="1" customWidth="1"/>
  </cols>
  <sheetData>
    <row r="1" spans="1:7" ht="50">
      <c r="A1" s="31" t="s">
        <v>515</v>
      </c>
      <c r="B1" s="31" t="s">
        <v>516</v>
      </c>
      <c r="C1" s="31" t="s">
        <v>517</v>
      </c>
      <c r="D1" s="31" t="s">
        <v>518</v>
      </c>
      <c r="E1" s="31" t="s">
        <v>519</v>
      </c>
      <c r="F1" s="31" t="s">
        <v>520</v>
      </c>
      <c r="G1" s="31" t="s">
        <v>521</v>
      </c>
    </row>
    <row r="2" spans="1:7" ht="25">
      <c r="A2" s="70" t="s">
        <v>69</v>
      </c>
      <c r="B2" s="71" t="s">
        <v>522</v>
      </c>
      <c r="C2" s="70" t="s">
        <v>170</v>
      </c>
      <c r="D2" s="64"/>
      <c r="E2" s="64"/>
      <c r="F2" s="64"/>
      <c r="G2" s="72"/>
    </row>
    <row r="3" spans="1:7">
      <c r="A3" s="73" t="s">
        <v>6</v>
      </c>
      <c r="B3" s="74" t="s">
        <v>546</v>
      </c>
      <c r="C3" s="75" t="s">
        <v>576</v>
      </c>
      <c r="D3" s="76">
        <v>61300</v>
      </c>
      <c r="E3" s="77">
        <v>47250</v>
      </c>
      <c r="F3" s="76">
        <v>2896425000</v>
      </c>
      <c r="G3" s="78">
        <v>7.1473396639516297E-3</v>
      </c>
    </row>
    <row r="4" spans="1:7">
      <c r="A4" s="73" t="s">
        <v>9</v>
      </c>
      <c r="B4" s="74" t="s">
        <v>547</v>
      </c>
      <c r="C4" s="75" t="s">
        <v>577</v>
      </c>
      <c r="D4" s="76">
        <v>31400</v>
      </c>
      <c r="E4" s="77">
        <v>58400</v>
      </c>
      <c r="F4" s="76">
        <v>1833760000</v>
      </c>
      <c r="G4" s="78">
        <v>4.5250629939211102E-3</v>
      </c>
    </row>
    <row r="5" spans="1:7">
      <c r="A5" s="73" t="s">
        <v>12</v>
      </c>
      <c r="B5" s="74" t="s">
        <v>548</v>
      </c>
      <c r="C5" s="75" t="s">
        <v>578</v>
      </c>
      <c r="D5" s="76">
        <v>192900</v>
      </c>
      <c r="E5" s="77">
        <v>52700</v>
      </c>
      <c r="F5" s="76">
        <v>10165830000</v>
      </c>
      <c r="G5" s="78">
        <v>2.5085627964124502E-2</v>
      </c>
    </row>
    <row r="6" spans="1:7">
      <c r="A6" s="73" t="s">
        <v>15</v>
      </c>
      <c r="B6" s="74" t="s">
        <v>549</v>
      </c>
      <c r="C6" s="75" t="s">
        <v>579</v>
      </c>
      <c r="D6" s="76">
        <v>208971</v>
      </c>
      <c r="E6" s="77">
        <v>88000</v>
      </c>
      <c r="F6" s="76">
        <v>18389448000</v>
      </c>
      <c r="G6" s="78">
        <v>4.5378572235972303E-2</v>
      </c>
    </row>
    <row r="7" spans="1:7">
      <c r="A7" s="73" t="s">
        <v>18</v>
      </c>
      <c r="B7" s="74" t="s">
        <v>550</v>
      </c>
      <c r="C7" s="75" t="s">
        <v>580</v>
      </c>
      <c r="D7" s="76">
        <v>35200</v>
      </c>
      <c r="E7" s="77">
        <v>93000</v>
      </c>
      <c r="F7" s="76">
        <v>3273600000</v>
      </c>
      <c r="G7" s="78">
        <v>8.0780724941650704E-3</v>
      </c>
    </row>
    <row r="8" spans="1:7">
      <c r="A8" s="73" t="s">
        <v>581</v>
      </c>
      <c r="B8" s="74" t="s">
        <v>551</v>
      </c>
      <c r="C8" s="75" t="s">
        <v>582</v>
      </c>
      <c r="D8" s="76">
        <v>381073</v>
      </c>
      <c r="E8" s="77">
        <v>35500</v>
      </c>
      <c r="F8" s="76">
        <v>13528091500</v>
      </c>
      <c r="G8" s="78">
        <v>3.3382485289802699E-2</v>
      </c>
    </row>
    <row r="9" spans="1:7">
      <c r="A9" s="73" t="s">
        <v>583</v>
      </c>
      <c r="B9" s="74" t="s">
        <v>552</v>
      </c>
      <c r="C9" s="75" t="s">
        <v>584</v>
      </c>
      <c r="D9" s="76">
        <v>809505</v>
      </c>
      <c r="E9" s="77">
        <v>51500</v>
      </c>
      <c r="F9" s="76">
        <v>41689507500</v>
      </c>
      <c r="G9" s="78">
        <v>0.10287477511945201</v>
      </c>
    </row>
    <row r="10" spans="1:7">
      <c r="A10" s="73" t="s">
        <v>585</v>
      </c>
      <c r="B10" s="74" t="s">
        <v>553</v>
      </c>
      <c r="C10" s="75" t="s">
        <v>586</v>
      </c>
      <c r="D10" s="76">
        <v>146320</v>
      </c>
      <c r="E10" s="77">
        <v>37550</v>
      </c>
      <c r="F10" s="76">
        <v>5494316000</v>
      </c>
      <c r="G10" s="78">
        <v>1.35580043236348E-2</v>
      </c>
    </row>
    <row r="11" spans="1:7">
      <c r="A11" s="73" t="s">
        <v>587</v>
      </c>
      <c r="B11" s="74" t="s">
        <v>554</v>
      </c>
      <c r="C11" s="75" t="s">
        <v>588</v>
      </c>
      <c r="D11" s="76">
        <v>423386</v>
      </c>
      <c r="E11" s="77">
        <v>43350</v>
      </c>
      <c r="F11" s="76">
        <v>18353783100</v>
      </c>
      <c r="G11" s="78">
        <v>4.5290564034696203E-2</v>
      </c>
    </row>
    <row r="12" spans="1:7">
      <c r="A12" s="73" t="s">
        <v>43</v>
      </c>
      <c r="B12" s="74" t="s">
        <v>555</v>
      </c>
      <c r="C12" s="75" t="s">
        <v>589</v>
      </c>
      <c r="D12" s="76">
        <v>140400</v>
      </c>
      <c r="E12" s="77">
        <v>111400</v>
      </c>
      <c r="F12" s="76">
        <v>15640560000</v>
      </c>
      <c r="G12" s="78">
        <v>3.8595301053683501E-2</v>
      </c>
    </row>
    <row r="13" spans="1:7">
      <c r="A13" s="73" t="s">
        <v>44</v>
      </c>
      <c r="B13" s="74" t="s">
        <v>556</v>
      </c>
      <c r="C13" s="75" t="s">
        <v>590</v>
      </c>
      <c r="D13" s="76">
        <v>105000</v>
      </c>
      <c r="E13" s="77">
        <v>152000</v>
      </c>
      <c r="F13" s="76">
        <v>15960000000</v>
      </c>
      <c r="G13" s="78">
        <v>3.93835645793238E-2</v>
      </c>
    </row>
    <row r="14" spans="1:7">
      <c r="A14" s="73" t="s">
        <v>45</v>
      </c>
      <c r="B14" s="74" t="s">
        <v>557</v>
      </c>
      <c r="C14" s="75" t="s">
        <v>591</v>
      </c>
      <c r="D14" s="76">
        <v>158326</v>
      </c>
      <c r="E14" s="77">
        <v>121000</v>
      </c>
      <c r="F14" s="76">
        <v>19157446000</v>
      </c>
      <c r="G14" s="78">
        <v>4.7273716272926598E-2</v>
      </c>
    </row>
    <row r="15" spans="1:7">
      <c r="A15" s="73" t="s">
        <v>46</v>
      </c>
      <c r="B15" s="74" t="s">
        <v>558</v>
      </c>
      <c r="C15" s="75" t="s">
        <v>592</v>
      </c>
      <c r="D15" s="76">
        <v>69609</v>
      </c>
      <c r="E15" s="77">
        <v>93400</v>
      </c>
      <c r="F15" s="76">
        <v>6501480600</v>
      </c>
      <c r="G15" s="78">
        <v>1.6043325881661699E-2</v>
      </c>
    </row>
    <row r="16" spans="1:7">
      <c r="A16" s="73" t="s">
        <v>47</v>
      </c>
      <c r="B16" s="74" t="s">
        <v>559</v>
      </c>
      <c r="C16" s="75" t="s">
        <v>593</v>
      </c>
      <c r="D16" s="76">
        <v>53500</v>
      </c>
      <c r="E16" s="77">
        <v>54800</v>
      </c>
      <c r="F16" s="76">
        <v>2931800000</v>
      </c>
      <c r="G16" s="78">
        <v>7.2346324958434604E-3</v>
      </c>
    </row>
    <row r="17" spans="1:7">
      <c r="A17" s="73" t="s">
        <v>48</v>
      </c>
      <c r="B17" s="74" t="s">
        <v>560</v>
      </c>
      <c r="C17" s="75" t="s">
        <v>594</v>
      </c>
      <c r="D17" s="76">
        <v>68363</v>
      </c>
      <c r="E17" s="77">
        <v>100100</v>
      </c>
      <c r="F17" s="76">
        <v>6843136300</v>
      </c>
      <c r="G17" s="78">
        <v>1.6886409799258501E-2</v>
      </c>
    </row>
    <row r="18" spans="1:7">
      <c r="A18" s="73" t="s">
        <v>189</v>
      </c>
      <c r="B18" s="74" t="s">
        <v>561</v>
      </c>
      <c r="C18" s="75" t="s">
        <v>595</v>
      </c>
      <c r="D18" s="76">
        <v>185800</v>
      </c>
      <c r="E18" s="77">
        <v>12050</v>
      </c>
      <c r="F18" s="76">
        <v>2238890000</v>
      </c>
      <c r="G18" s="78">
        <v>5.5247787531956302E-3</v>
      </c>
    </row>
    <row r="19" spans="1:7">
      <c r="A19" s="73" t="s">
        <v>190</v>
      </c>
      <c r="B19" s="74" t="s">
        <v>562</v>
      </c>
      <c r="C19" s="75" t="s">
        <v>596</v>
      </c>
      <c r="D19" s="76">
        <v>52120</v>
      </c>
      <c r="E19" s="77">
        <v>57700</v>
      </c>
      <c r="F19" s="76">
        <v>3007324000</v>
      </c>
      <c r="G19" s="78">
        <v>7.4209986820144404E-3</v>
      </c>
    </row>
    <row r="20" spans="1:7">
      <c r="A20" s="73" t="s">
        <v>191</v>
      </c>
      <c r="B20" s="74" t="s">
        <v>563</v>
      </c>
      <c r="C20" s="75" t="s">
        <v>597</v>
      </c>
      <c r="D20" s="76">
        <v>102100</v>
      </c>
      <c r="E20" s="77">
        <v>21000</v>
      </c>
      <c r="F20" s="76">
        <v>2144100000</v>
      </c>
      <c r="G20" s="78">
        <v>5.2908709783539001E-3</v>
      </c>
    </row>
    <row r="21" spans="1:7">
      <c r="A21" s="73" t="s">
        <v>192</v>
      </c>
      <c r="B21" s="74" t="s">
        <v>564</v>
      </c>
      <c r="C21" s="75" t="s">
        <v>598</v>
      </c>
      <c r="D21" s="76">
        <v>138900</v>
      </c>
      <c r="E21" s="77">
        <v>55000</v>
      </c>
      <c r="F21" s="76">
        <v>7639500000</v>
      </c>
      <c r="G21" s="78">
        <v>1.88515502257985E-2</v>
      </c>
    </row>
    <row r="22" spans="1:7">
      <c r="A22" s="73" t="s">
        <v>49</v>
      </c>
      <c r="B22" s="74" t="s">
        <v>565</v>
      </c>
      <c r="C22" s="75" t="s">
        <v>599</v>
      </c>
      <c r="D22" s="76">
        <v>563800</v>
      </c>
      <c r="E22" s="77">
        <v>30600</v>
      </c>
      <c r="F22" s="76">
        <v>17252280000</v>
      </c>
      <c r="G22" s="78">
        <v>4.2572448842141397E-2</v>
      </c>
    </row>
    <row r="23" spans="1:7">
      <c r="A23" s="73" t="s">
        <v>127</v>
      </c>
      <c r="B23" s="74" t="s">
        <v>566</v>
      </c>
      <c r="C23" s="75" t="s">
        <v>600</v>
      </c>
      <c r="D23" s="76">
        <v>225000</v>
      </c>
      <c r="E23" s="77">
        <v>36750</v>
      </c>
      <c r="F23" s="76">
        <v>8268750000</v>
      </c>
      <c r="G23" s="78">
        <v>2.0404313885669399E-2</v>
      </c>
    </row>
    <row r="24" spans="1:7">
      <c r="A24" s="73" t="s">
        <v>129</v>
      </c>
      <c r="B24" s="74" t="s">
        <v>567</v>
      </c>
      <c r="C24" s="75" t="s">
        <v>601</v>
      </c>
      <c r="D24" s="76">
        <v>138630</v>
      </c>
      <c r="E24" s="77">
        <v>116400</v>
      </c>
      <c r="F24" s="76">
        <v>16136532000</v>
      </c>
      <c r="G24" s="78">
        <v>3.9819182337614403E-2</v>
      </c>
    </row>
    <row r="25" spans="1:7">
      <c r="A25" s="73" t="s">
        <v>60</v>
      </c>
      <c r="B25" s="74" t="s">
        <v>568</v>
      </c>
      <c r="C25" s="75" t="s">
        <v>602</v>
      </c>
      <c r="D25" s="76">
        <v>154450</v>
      </c>
      <c r="E25" s="77">
        <v>118000</v>
      </c>
      <c r="F25" s="76">
        <v>18225100000</v>
      </c>
      <c r="G25" s="78">
        <v>4.4973020226480899E-2</v>
      </c>
    </row>
    <row r="26" spans="1:7">
      <c r="A26" s="73" t="s">
        <v>61</v>
      </c>
      <c r="B26" s="74" t="s">
        <v>569</v>
      </c>
      <c r="C26" s="75" t="s">
        <v>603</v>
      </c>
      <c r="D26" s="76">
        <v>222400</v>
      </c>
      <c r="E26" s="77">
        <v>119000</v>
      </c>
      <c r="F26" s="76">
        <v>26465600000</v>
      </c>
      <c r="G26" s="78">
        <v>6.5307623228731404E-2</v>
      </c>
    </row>
    <row r="27" spans="1:7">
      <c r="A27" s="73" t="s">
        <v>133</v>
      </c>
      <c r="B27" s="74" t="s">
        <v>570</v>
      </c>
      <c r="C27" s="75" t="s">
        <v>604</v>
      </c>
      <c r="D27" s="76">
        <v>93200</v>
      </c>
      <c r="E27" s="77">
        <v>121500</v>
      </c>
      <c r="F27" s="76">
        <v>11323800000</v>
      </c>
      <c r="G27" s="78">
        <v>2.79430832445706E-2</v>
      </c>
    </row>
    <row r="28" spans="1:7">
      <c r="A28" s="73" t="s">
        <v>605</v>
      </c>
      <c r="B28" s="74" t="s">
        <v>571</v>
      </c>
      <c r="C28" s="75" t="s">
        <v>606</v>
      </c>
      <c r="D28" s="76">
        <v>273400</v>
      </c>
      <c r="E28" s="77">
        <v>90400</v>
      </c>
      <c r="F28" s="76">
        <v>24715360000</v>
      </c>
      <c r="G28" s="78">
        <v>6.0988657685541098E-2</v>
      </c>
    </row>
    <row r="29" spans="1:7">
      <c r="A29" s="73" t="s">
        <v>607</v>
      </c>
      <c r="B29" s="74" t="s">
        <v>572</v>
      </c>
      <c r="C29" s="75" t="s">
        <v>608</v>
      </c>
      <c r="D29" s="76">
        <v>605800</v>
      </c>
      <c r="E29" s="77">
        <v>67700</v>
      </c>
      <c r="F29" s="76">
        <v>41012660000</v>
      </c>
      <c r="G29" s="78">
        <v>0.101204557874677</v>
      </c>
    </row>
    <row r="30" spans="1:7">
      <c r="A30" s="73" t="s">
        <v>609</v>
      </c>
      <c r="B30" s="74" t="s">
        <v>573</v>
      </c>
      <c r="C30" s="75" t="s">
        <v>610</v>
      </c>
      <c r="D30" s="76">
        <v>186000</v>
      </c>
      <c r="E30" s="77">
        <v>31750</v>
      </c>
      <c r="F30" s="76">
        <v>5905500000</v>
      </c>
      <c r="G30" s="78">
        <v>1.45726591869171E-2</v>
      </c>
    </row>
    <row r="31" spans="1:7" ht="25">
      <c r="A31" s="70"/>
      <c r="B31" s="71" t="s">
        <v>524</v>
      </c>
      <c r="C31" s="70" t="s">
        <v>171</v>
      </c>
      <c r="D31" s="64">
        <v>5826853</v>
      </c>
      <c r="E31" s="64"/>
      <c r="F31" s="64">
        <v>366994580000</v>
      </c>
      <c r="G31" s="72">
        <v>0.90561119935412404</v>
      </c>
    </row>
    <row r="32" spans="1:7" ht="25">
      <c r="A32" s="70" t="s">
        <v>86</v>
      </c>
      <c r="B32" s="71" t="s">
        <v>523</v>
      </c>
      <c r="C32" s="70" t="s">
        <v>172</v>
      </c>
      <c r="D32" s="64"/>
      <c r="E32" s="64"/>
      <c r="F32" s="64"/>
      <c r="G32" s="72"/>
    </row>
    <row r="33" spans="1:7" ht="25">
      <c r="A33" s="70"/>
      <c r="B33" s="71" t="s">
        <v>524</v>
      </c>
      <c r="C33" s="70" t="s">
        <v>173</v>
      </c>
      <c r="D33" s="64">
        <v>0</v>
      </c>
      <c r="E33" s="64"/>
      <c r="F33" s="64">
        <v>0</v>
      </c>
      <c r="G33" s="72">
        <v>0</v>
      </c>
    </row>
    <row r="34" spans="1:7" ht="25">
      <c r="A34" s="70"/>
      <c r="B34" s="71" t="s">
        <v>525</v>
      </c>
      <c r="C34" s="70" t="s">
        <v>174</v>
      </c>
      <c r="D34" s="64">
        <v>5826853</v>
      </c>
      <c r="E34" s="64"/>
      <c r="F34" s="64">
        <v>366994580000</v>
      </c>
      <c r="G34" s="72">
        <v>0.90561119935412404</v>
      </c>
    </row>
    <row r="35" spans="1:7" ht="25">
      <c r="A35" s="70" t="s">
        <v>162</v>
      </c>
      <c r="B35" s="71" t="s">
        <v>526</v>
      </c>
      <c r="C35" s="70" t="s">
        <v>175</v>
      </c>
      <c r="D35" s="64"/>
      <c r="E35" s="64"/>
      <c r="F35" s="64"/>
      <c r="G35" s="72"/>
    </row>
    <row r="36" spans="1:7" ht="25">
      <c r="A36" s="73" t="s">
        <v>6</v>
      </c>
      <c r="B36" s="74" t="s">
        <v>611</v>
      </c>
      <c r="C36" s="75" t="s">
        <v>612</v>
      </c>
      <c r="D36" s="76">
        <v>0</v>
      </c>
      <c r="E36" s="77"/>
      <c r="F36" s="76">
        <v>0</v>
      </c>
      <c r="G36" s="78">
        <v>0</v>
      </c>
    </row>
    <row r="37" spans="1:7" ht="25">
      <c r="A37" s="73" t="s">
        <v>9</v>
      </c>
      <c r="B37" s="74" t="s">
        <v>613</v>
      </c>
      <c r="C37" s="75" t="s">
        <v>614</v>
      </c>
      <c r="D37" s="76">
        <v>0</v>
      </c>
      <c r="E37" s="77"/>
      <c r="F37" s="76">
        <v>0</v>
      </c>
      <c r="G37" s="78">
        <v>0</v>
      </c>
    </row>
    <row r="38" spans="1:7" ht="25">
      <c r="A38" s="70"/>
      <c r="B38" s="71" t="s">
        <v>524</v>
      </c>
      <c r="C38" s="70" t="s">
        <v>176</v>
      </c>
      <c r="D38" s="64">
        <v>0</v>
      </c>
      <c r="E38" s="64"/>
      <c r="F38" s="64">
        <v>0</v>
      </c>
      <c r="G38" s="72">
        <v>0</v>
      </c>
    </row>
    <row r="39" spans="1:7" ht="25">
      <c r="A39" s="70" t="s">
        <v>168</v>
      </c>
      <c r="B39" s="71" t="s">
        <v>527</v>
      </c>
      <c r="C39" s="70" t="s">
        <v>177</v>
      </c>
      <c r="D39" s="64"/>
      <c r="E39" s="64"/>
      <c r="F39" s="64"/>
      <c r="G39" s="72"/>
    </row>
    <row r="40" spans="1:7" ht="25">
      <c r="A40" s="73" t="s">
        <v>6</v>
      </c>
      <c r="B40" s="74" t="s">
        <v>321</v>
      </c>
      <c r="C40" s="75" t="s">
        <v>615</v>
      </c>
      <c r="D40" s="76">
        <v>0</v>
      </c>
      <c r="E40" s="77"/>
      <c r="F40" s="76">
        <v>0</v>
      </c>
      <c r="G40" s="78">
        <v>0</v>
      </c>
    </row>
    <row r="41" spans="1:7" ht="25">
      <c r="A41" s="73" t="s">
        <v>9</v>
      </c>
      <c r="B41" s="74" t="s">
        <v>616</v>
      </c>
      <c r="C41" s="75" t="s">
        <v>617</v>
      </c>
      <c r="D41" s="76">
        <v>0</v>
      </c>
      <c r="E41" s="77"/>
      <c r="F41" s="76">
        <v>0</v>
      </c>
      <c r="G41" s="78">
        <v>0</v>
      </c>
    </row>
    <row r="42" spans="1:7" ht="25">
      <c r="A42" s="70"/>
      <c r="B42" s="71" t="s">
        <v>618</v>
      </c>
      <c r="C42" s="70" t="s">
        <v>178</v>
      </c>
      <c r="D42" s="64"/>
      <c r="E42" s="64"/>
      <c r="F42" s="64">
        <v>0</v>
      </c>
      <c r="G42" s="72">
        <v>0</v>
      </c>
    </row>
    <row r="43" spans="1:7" ht="25">
      <c r="A43" s="70"/>
      <c r="B43" s="71" t="s">
        <v>528</v>
      </c>
      <c r="C43" s="70" t="s">
        <v>179</v>
      </c>
      <c r="D43" s="64"/>
      <c r="E43" s="64"/>
      <c r="F43" s="64">
        <v>366994580000</v>
      </c>
      <c r="G43" s="72">
        <v>0.90561119935412404</v>
      </c>
    </row>
    <row r="44" spans="1:7" ht="25">
      <c r="A44" s="70" t="s">
        <v>180</v>
      </c>
      <c r="B44" s="71" t="s">
        <v>529</v>
      </c>
      <c r="C44" s="70" t="s">
        <v>181</v>
      </c>
      <c r="D44" s="64"/>
      <c r="E44" s="64"/>
      <c r="F44" s="64"/>
      <c r="G44" s="72"/>
    </row>
    <row r="45" spans="1:7" ht="25">
      <c r="A45" s="73" t="s">
        <v>6</v>
      </c>
      <c r="B45" s="74" t="s">
        <v>530</v>
      </c>
      <c r="C45" s="75" t="s">
        <v>619</v>
      </c>
      <c r="D45" s="76"/>
      <c r="E45" s="77"/>
      <c r="F45" s="76">
        <v>265760000</v>
      </c>
      <c r="G45" s="78">
        <v>6.5580050893490605E-4</v>
      </c>
    </row>
    <row r="46" spans="1:7" ht="25">
      <c r="A46" s="73" t="s">
        <v>9</v>
      </c>
      <c r="B46" s="74" t="s">
        <v>531</v>
      </c>
      <c r="C46" s="75" t="s">
        <v>620</v>
      </c>
      <c r="D46" s="76"/>
      <c r="E46" s="77"/>
      <c r="F46" s="76">
        <v>0</v>
      </c>
      <c r="G46" s="78">
        <v>0</v>
      </c>
    </row>
    <row r="47" spans="1:7" ht="37.5">
      <c r="A47" s="73" t="s">
        <v>12</v>
      </c>
      <c r="B47" s="74" t="s">
        <v>532</v>
      </c>
      <c r="C47" s="75" t="s">
        <v>621</v>
      </c>
      <c r="D47" s="76"/>
      <c r="E47" s="77"/>
      <c r="F47" s="76">
        <v>0</v>
      </c>
      <c r="G47" s="78">
        <v>0</v>
      </c>
    </row>
    <row r="48" spans="1:7" ht="25">
      <c r="A48" s="73" t="s">
        <v>15</v>
      </c>
      <c r="B48" s="74" t="s">
        <v>533</v>
      </c>
      <c r="C48" s="75" t="s">
        <v>622</v>
      </c>
      <c r="D48" s="76"/>
      <c r="E48" s="77"/>
      <c r="F48" s="76">
        <v>0</v>
      </c>
      <c r="G48" s="78">
        <v>0</v>
      </c>
    </row>
    <row r="49" spans="1:9" ht="37.5">
      <c r="A49" s="73" t="s">
        <v>18</v>
      </c>
      <c r="B49" s="74" t="s">
        <v>360</v>
      </c>
      <c r="C49" s="75" t="s">
        <v>623</v>
      </c>
      <c r="D49" s="76"/>
      <c r="E49" s="77"/>
      <c r="F49" s="76">
        <v>0</v>
      </c>
      <c r="G49" s="78">
        <v>0</v>
      </c>
    </row>
    <row r="50" spans="1:9" ht="25">
      <c r="A50" s="73" t="s">
        <v>581</v>
      </c>
      <c r="B50" s="74" t="s">
        <v>534</v>
      </c>
      <c r="C50" s="75" t="s">
        <v>624</v>
      </c>
      <c r="D50" s="76"/>
      <c r="E50" s="77"/>
      <c r="F50" s="76">
        <v>0</v>
      </c>
      <c r="G50" s="78">
        <v>0</v>
      </c>
    </row>
    <row r="51" spans="1:9" ht="25">
      <c r="A51" s="73" t="s">
        <v>583</v>
      </c>
      <c r="B51" s="74" t="s">
        <v>535</v>
      </c>
      <c r="C51" s="75" t="s">
        <v>625</v>
      </c>
      <c r="D51" s="76"/>
      <c r="E51" s="77"/>
      <c r="F51" s="76">
        <v>0</v>
      </c>
      <c r="G51" s="78">
        <v>0</v>
      </c>
    </row>
    <row r="52" spans="1:9" ht="25">
      <c r="A52" s="70"/>
      <c r="B52" s="71" t="s">
        <v>524</v>
      </c>
      <c r="C52" s="70">
        <v>4041</v>
      </c>
      <c r="D52" s="64"/>
      <c r="E52" s="64"/>
      <c r="F52" s="64">
        <v>265760000</v>
      </c>
      <c r="G52" s="72">
        <v>6.5580050893490605E-4</v>
      </c>
    </row>
    <row r="53" spans="1:9" ht="25">
      <c r="A53" s="70" t="s">
        <v>108</v>
      </c>
      <c r="B53" s="71" t="s">
        <v>536</v>
      </c>
      <c r="C53" s="70" t="s">
        <v>182</v>
      </c>
      <c r="D53" s="64"/>
      <c r="E53" s="64"/>
      <c r="F53" s="64"/>
      <c r="G53" s="72"/>
    </row>
    <row r="54" spans="1:9" ht="25">
      <c r="A54" s="73" t="s">
        <v>6</v>
      </c>
      <c r="B54" s="74" t="s">
        <v>537</v>
      </c>
      <c r="C54" s="75" t="s">
        <v>183</v>
      </c>
      <c r="D54" s="76"/>
      <c r="E54" s="77"/>
      <c r="F54" s="76">
        <v>37984847186</v>
      </c>
      <c r="G54" s="78">
        <v>9.3733000136940997E-2</v>
      </c>
    </row>
    <row r="55" spans="1:9" ht="25">
      <c r="A55" s="73" t="s">
        <v>626</v>
      </c>
      <c r="B55" s="74" t="s">
        <v>627</v>
      </c>
      <c r="C55" s="75" t="s">
        <v>628</v>
      </c>
      <c r="D55" s="76"/>
      <c r="E55" s="77"/>
      <c r="F55" s="76">
        <v>37984847186</v>
      </c>
      <c r="G55" s="78">
        <v>9.3733000136940997E-2</v>
      </c>
      <c r="H55" s="57"/>
      <c r="I55" s="57"/>
    </row>
    <row r="56" spans="1:9" ht="25">
      <c r="A56" s="73" t="s">
        <v>629</v>
      </c>
      <c r="B56" s="74" t="s">
        <v>630</v>
      </c>
      <c r="C56" s="75" t="s">
        <v>631</v>
      </c>
      <c r="D56" s="76"/>
      <c r="E56" s="77"/>
      <c r="F56" s="76">
        <v>0</v>
      </c>
      <c r="G56" s="78">
        <v>0</v>
      </c>
    </row>
    <row r="57" spans="1:9" ht="25">
      <c r="A57" s="73" t="s">
        <v>632</v>
      </c>
      <c r="B57" s="74" t="s">
        <v>633</v>
      </c>
      <c r="C57" s="75" t="s">
        <v>634</v>
      </c>
      <c r="D57" s="76"/>
      <c r="E57" s="77"/>
      <c r="F57" s="76">
        <v>0</v>
      </c>
      <c r="G57" s="78">
        <v>0</v>
      </c>
    </row>
    <row r="58" spans="1:9" ht="25">
      <c r="A58" s="73" t="s">
        <v>9</v>
      </c>
      <c r="B58" s="74" t="s">
        <v>538</v>
      </c>
      <c r="C58" s="75" t="s">
        <v>184</v>
      </c>
      <c r="D58" s="76"/>
      <c r="E58" s="77"/>
      <c r="F58" s="76">
        <v>0</v>
      </c>
      <c r="G58" s="78">
        <v>0</v>
      </c>
    </row>
    <row r="59" spans="1:9" ht="25">
      <c r="A59" s="73" t="s">
        <v>12</v>
      </c>
      <c r="B59" s="74" t="s">
        <v>539</v>
      </c>
      <c r="C59" s="75" t="s">
        <v>185</v>
      </c>
      <c r="D59" s="76"/>
      <c r="E59" s="77"/>
      <c r="F59" s="76">
        <v>0</v>
      </c>
      <c r="G59" s="78">
        <v>0</v>
      </c>
    </row>
    <row r="60" spans="1:9" ht="25">
      <c r="A60" s="70"/>
      <c r="B60" s="71" t="s">
        <v>524</v>
      </c>
      <c r="C60" s="70" t="s">
        <v>186</v>
      </c>
      <c r="D60" s="64"/>
      <c r="E60" s="64"/>
      <c r="F60" s="64">
        <v>37984847186</v>
      </c>
      <c r="G60" s="72">
        <v>9.3733000136940997E-2</v>
      </c>
    </row>
    <row r="61" spans="1:9" ht="25">
      <c r="A61" s="70" t="s">
        <v>187</v>
      </c>
      <c r="B61" s="71" t="s">
        <v>540</v>
      </c>
      <c r="C61" s="70" t="s">
        <v>188</v>
      </c>
      <c r="D61" s="64"/>
      <c r="E61" s="64"/>
      <c r="F61" s="64">
        <v>405245187186</v>
      </c>
      <c r="G61" s="72">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E48"/>
  <sheetViews>
    <sheetView workbookViewId="0">
      <selection activeCell="D3" sqref="D3:E48"/>
    </sheetView>
  </sheetViews>
  <sheetFormatPr defaultRowHeight="12.5"/>
  <cols>
    <col min="1" max="1" width="61.81640625" customWidth="1"/>
    <col min="2" max="2" width="6.90625" customWidth="1"/>
    <col min="3" max="3" width="24.453125" customWidth="1"/>
    <col min="4" max="5" width="21.54296875" customWidth="1"/>
  </cols>
  <sheetData>
    <row r="1" spans="1:5" ht="37.5">
      <c r="A1" s="31" t="s">
        <v>198</v>
      </c>
      <c r="B1" s="31" t="s">
        <v>199</v>
      </c>
      <c r="C1" s="31" t="s">
        <v>200</v>
      </c>
      <c r="D1" s="31" t="s">
        <v>203</v>
      </c>
      <c r="E1" s="31" t="s">
        <v>205</v>
      </c>
    </row>
    <row r="2" spans="1:5" ht="25">
      <c r="A2" s="45" t="s">
        <v>467</v>
      </c>
      <c r="B2" s="46" t="s">
        <v>69</v>
      </c>
      <c r="C2" s="47"/>
      <c r="D2" s="44"/>
      <c r="E2" s="44"/>
    </row>
    <row r="3" spans="1:5" ht="25">
      <c r="A3" s="48" t="s">
        <v>468</v>
      </c>
      <c r="B3" s="49" t="s">
        <v>34</v>
      </c>
      <c r="C3" s="50"/>
      <c r="D3" s="44">
        <v>41676627745</v>
      </c>
      <c r="E3" s="44">
        <v>-11554846096</v>
      </c>
    </row>
    <row r="4" spans="1:5" ht="37.5">
      <c r="A4" s="48" t="s">
        <v>469</v>
      </c>
      <c r="B4" s="49" t="s">
        <v>35</v>
      </c>
      <c r="C4" s="50"/>
      <c r="D4" s="44">
        <v>-37758602610</v>
      </c>
      <c r="E4" s="44">
        <v>8235991069</v>
      </c>
    </row>
    <row r="5" spans="1:5" ht="37.5">
      <c r="A5" s="48" t="s">
        <v>470</v>
      </c>
      <c r="B5" s="49" t="s">
        <v>36</v>
      </c>
      <c r="C5" s="50"/>
      <c r="D5" s="51">
        <v>-37831002610</v>
      </c>
      <c r="E5" s="51">
        <v>8272138610</v>
      </c>
    </row>
    <row r="6" spans="1:5" ht="25">
      <c r="A6" s="48" t="s">
        <v>471</v>
      </c>
      <c r="B6" s="49" t="s">
        <v>37</v>
      </c>
      <c r="C6" s="50"/>
      <c r="D6" s="51">
        <v>72400000</v>
      </c>
      <c r="E6" s="51">
        <v>-36147541</v>
      </c>
    </row>
    <row r="7" spans="1:5" ht="25">
      <c r="A7" s="48" t="s">
        <v>472</v>
      </c>
      <c r="B7" s="49" t="s">
        <v>38</v>
      </c>
      <c r="C7" s="50"/>
      <c r="D7" s="44">
        <v>3918025135</v>
      </c>
      <c r="E7" s="44">
        <v>-3318855027</v>
      </c>
    </row>
    <row r="8" spans="1:5" ht="25">
      <c r="A8" s="48" t="s">
        <v>473</v>
      </c>
      <c r="B8" s="49" t="s">
        <v>49</v>
      </c>
      <c r="C8" s="50"/>
      <c r="D8" s="51">
        <v>-256510152740</v>
      </c>
      <c r="E8" s="51">
        <v>-4905457610</v>
      </c>
    </row>
    <row r="9" spans="1:5" ht="37.5">
      <c r="A9" s="48" t="s">
        <v>474</v>
      </c>
      <c r="B9" s="49" t="s">
        <v>39</v>
      </c>
      <c r="C9" s="50"/>
      <c r="D9" s="51">
        <v>3654928380</v>
      </c>
      <c r="E9" s="51">
        <v>-485668391</v>
      </c>
    </row>
    <row r="10" spans="1:5" ht="25">
      <c r="A10" s="48" t="s">
        <v>475</v>
      </c>
      <c r="B10" s="49" t="s">
        <v>40</v>
      </c>
      <c r="C10" s="50"/>
      <c r="D10" s="51">
        <v>-210656000</v>
      </c>
      <c r="E10" s="51">
        <v>271958248</v>
      </c>
    </row>
    <row r="11" spans="1:5" ht="25">
      <c r="A11" s="48" t="s">
        <v>476</v>
      </c>
      <c r="B11" s="49" t="s">
        <v>41</v>
      </c>
      <c r="C11" s="50"/>
      <c r="D11" s="51">
        <v>724825501</v>
      </c>
      <c r="E11" s="51">
        <v>616351595</v>
      </c>
    </row>
    <row r="12" spans="1:5" ht="25">
      <c r="A12" s="48" t="s">
        <v>477</v>
      </c>
      <c r="B12" s="49" t="s">
        <v>42</v>
      </c>
      <c r="C12" s="50"/>
      <c r="D12" s="51">
        <v>0</v>
      </c>
      <c r="E12" s="51">
        <v>0</v>
      </c>
    </row>
    <row r="13" spans="1:5" ht="37.5">
      <c r="A13" s="48" t="s">
        <v>478</v>
      </c>
      <c r="B13" s="49" t="s">
        <v>43</v>
      </c>
      <c r="C13" s="50"/>
      <c r="D13" s="51">
        <v>0</v>
      </c>
      <c r="E13" s="51">
        <v>0</v>
      </c>
    </row>
    <row r="14" spans="1:5" ht="50">
      <c r="A14" s="48" t="s">
        <v>479</v>
      </c>
      <c r="B14" s="49" t="s">
        <v>44</v>
      </c>
      <c r="C14" s="50"/>
      <c r="D14" s="51">
        <v>456927429</v>
      </c>
      <c r="E14" s="51">
        <v>5869966</v>
      </c>
    </row>
    <row r="15" spans="1:5" ht="25">
      <c r="A15" s="48" t="s">
        <v>480</v>
      </c>
      <c r="B15" s="49" t="s">
        <v>45</v>
      </c>
      <c r="C15" s="50"/>
      <c r="D15" s="51">
        <v>0</v>
      </c>
      <c r="E15" s="51">
        <v>0</v>
      </c>
    </row>
    <row r="16" spans="1:5" ht="25">
      <c r="A16" s="48" t="s">
        <v>481</v>
      </c>
      <c r="B16" s="49" t="s">
        <v>46</v>
      </c>
      <c r="C16" s="50"/>
      <c r="D16" s="51">
        <v>34594106</v>
      </c>
      <c r="E16" s="51">
        <v>1005791</v>
      </c>
    </row>
    <row r="17" spans="1:5" ht="25">
      <c r="A17" s="48" t="s">
        <v>482</v>
      </c>
      <c r="B17" s="49" t="s">
        <v>47</v>
      </c>
      <c r="C17" s="50"/>
      <c r="D17" s="51">
        <v>4637751333</v>
      </c>
      <c r="E17" s="51">
        <v>143459363</v>
      </c>
    </row>
    <row r="18" spans="1:5" ht="25">
      <c r="A18" s="48" t="s">
        <v>483</v>
      </c>
      <c r="B18" s="49" t="s">
        <v>48</v>
      </c>
      <c r="C18" s="50"/>
      <c r="D18" s="51">
        <v>1562850173</v>
      </c>
      <c r="E18" s="51">
        <v>-52195095</v>
      </c>
    </row>
    <row r="19" spans="1:5" ht="25">
      <c r="A19" s="48" t="s">
        <v>484</v>
      </c>
      <c r="B19" s="49" t="s">
        <v>189</v>
      </c>
      <c r="C19" s="50"/>
      <c r="D19" s="51">
        <v>0</v>
      </c>
      <c r="E19" s="51">
        <v>0</v>
      </c>
    </row>
    <row r="20" spans="1:5" ht="25">
      <c r="A20" s="52" t="s">
        <v>485</v>
      </c>
      <c r="B20" s="49" t="s">
        <v>190</v>
      </c>
      <c r="C20" s="50"/>
      <c r="D20" s="51">
        <v>142419572</v>
      </c>
      <c r="E20" s="51">
        <v>68632215</v>
      </c>
    </row>
    <row r="21" spans="1:5" ht="25">
      <c r="A21" s="48" t="s">
        <v>486</v>
      </c>
      <c r="B21" s="49" t="s">
        <v>191</v>
      </c>
      <c r="C21" s="50"/>
      <c r="D21" s="51">
        <v>0</v>
      </c>
      <c r="E21" s="51">
        <v>0</v>
      </c>
    </row>
    <row r="22" spans="1:5" ht="25">
      <c r="A22" s="45" t="s">
        <v>487</v>
      </c>
      <c r="B22" s="46" t="s">
        <v>192</v>
      </c>
      <c r="C22" s="47"/>
      <c r="D22" s="44">
        <v>-241588487111</v>
      </c>
      <c r="E22" s="44">
        <v>-7654898945</v>
      </c>
    </row>
    <row r="23" spans="1:5" ht="25">
      <c r="A23" s="45" t="s">
        <v>488</v>
      </c>
      <c r="B23" s="46" t="s">
        <v>86</v>
      </c>
      <c r="C23" s="47"/>
      <c r="D23" s="44"/>
      <c r="E23" s="44"/>
    </row>
    <row r="24" spans="1:5" ht="25">
      <c r="A24" s="48" t="s">
        <v>489</v>
      </c>
      <c r="B24" s="49" t="s">
        <v>65</v>
      </c>
      <c r="C24" s="50"/>
      <c r="D24" s="51">
        <v>417332911827</v>
      </c>
      <c r="E24" s="51">
        <v>6355990295</v>
      </c>
    </row>
    <row r="25" spans="1:5" ht="25">
      <c r="A25" s="48" t="s">
        <v>490</v>
      </c>
      <c r="B25" s="49" t="s">
        <v>66</v>
      </c>
      <c r="C25" s="50"/>
      <c r="D25" s="51">
        <v>-144468858957</v>
      </c>
      <c r="E25" s="51">
        <v>-17386427325</v>
      </c>
    </row>
    <row r="26" spans="1:5" ht="25">
      <c r="A26" s="48" t="s">
        <v>491</v>
      </c>
      <c r="B26" s="49" t="s">
        <v>193</v>
      </c>
      <c r="C26" s="50"/>
      <c r="D26" s="51">
        <v>0</v>
      </c>
      <c r="E26" s="51">
        <v>0</v>
      </c>
    </row>
    <row r="27" spans="1:5" ht="25">
      <c r="A27" s="48" t="s">
        <v>492</v>
      </c>
      <c r="B27" s="49" t="s">
        <v>194</v>
      </c>
      <c r="C27" s="50"/>
      <c r="D27" s="51">
        <v>0</v>
      </c>
      <c r="E27" s="51">
        <v>0</v>
      </c>
    </row>
    <row r="28" spans="1:5" ht="25">
      <c r="A28" s="48" t="s">
        <v>493</v>
      </c>
      <c r="B28" s="49" t="s">
        <v>195</v>
      </c>
      <c r="C28" s="50"/>
      <c r="D28" s="51">
        <v>0</v>
      </c>
      <c r="E28" s="51">
        <v>0</v>
      </c>
    </row>
    <row r="29" spans="1:5" ht="37.5">
      <c r="A29" s="45" t="s">
        <v>494</v>
      </c>
      <c r="B29" s="46" t="s">
        <v>64</v>
      </c>
      <c r="C29" s="50"/>
      <c r="D29" s="44">
        <v>272864052870</v>
      </c>
      <c r="E29" s="44">
        <v>-11030437030</v>
      </c>
    </row>
    <row r="30" spans="1:5" ht="37.5">
      <c r="A30" s="45" t="s">
        <v>495</v>
      </c>
      <c r="B30" s="46" t="s">
        <v>67</v>
      </c>
      <c r="C30" s="47"/>
      <c r="D30" s="44">
        <v>31275565759</v>
      </c>
      <c r="E30" s="44">
        <v>-18685335975</v>
      </c>
    </row>
    <row r="31" spans="1:5" ht="25">
      <c r="A31" s="45" t="s">
        <v>496</v>
      </c>
      <c r="B31" s="46" t="s">
        <v>137</v>
      </c>
      <c r="C31" s="47"/>
      <c r="D31" s="44">
        <v>6709281427</v>
      </c>
      <c r="E31" s="44">
        <v>29932893119</v>
      </c>
    </row>
    <row r="32" spans="1:5" ht="25">
      <c r="A32" s="48" t="s">
        <v>497</v>
      </c>
      <c r="B32" s="49" t="s">
        <v>139</v>
      </c>
      <c r="C32" s="50"/>
      <c r="D32" s="51">
        <v>6709281427</v>
      </c>
      <c r="E32" s="51">
        <v>29932893119</v>
      </c>
    </row>
    <row r="33" spans="1:5" ht="25">
      <c r="A33" s="53" t="s">
        <v>498</v>
      </c>
      <c r="B33" s="49" t="s">
        <v>141</v>
      </c>
      <c r="C33" s="50"/>
      <c r="D33" s="51">
        <v>3330504907</v>
      </c>
      <c r="E33" s="51">
        <v>29866611725</v>
      </c>
    </row>
    <row r="34" spans="1:5" ht="25">
      <c r="A34" s="54" t="s">
        <v>499</v>
      </c>
      <c r="B34" s="55" t="s">
        <v>500</v>
      </c>
      <c r="C34" s="50"/>
      <c r="D34" s="51">
        <v>3330504907</v>
      </c>
      <c r="E34" s="51">
        <v>16366611725</v>
      </c>
    </row>
    <row r="35" spans="1:5" ht="25">
      <c r="A35" s="56" t="s">
        <v>501</v>
      </c>
      <c r="B35" s="55" t="s">
        <v>502</v>
      </c>
      <c r="C35" s="50"/>
      <c r="D35" s="51">
        <v>0</v>
      </c>
      <c r="E35" s="51">
        <v>13500000000</v>
      </c>
    </row>
    <row r="36" spans="1:5" ht="25">
      <c r="A36" s="54" t="s">
        <v>304</v>
      </c>
      <c r="B36" s="55" t="s">
        <v>503</v>
      </c>
      <c r="C36" s="50"/>
      <c r="D36" s="51">
        <v>0</v>
      </c>
      <c r="E36" s="51">
        <v>0</v>
      </c>
    </row>
    <row r="37" spans="1:5" ht="25">
      <c r="A37" s="48" t="s">
        <v>504</v>
      </c>
      <c r="B37" s="49" t="s">
        <v>143</v>
      </c>
      <c r="C37" s="50"/>
      <c r="D37" s="51">
        <v>3378776520</v>
      </c>
      <c r="E37" s="51">
        <v>66281394</v>
      </c>
    </row>
    <row r="38" spans="1:5" ht="25">
      <c r="A38" s="48" t="s">
        <v>505</v>
      </c>
      <c r="B38" s="49" t="s">
        <v>145</v>
      </c>
      <c r="C38" s="50"/>
      <c r="D38" s="51">
        <v>0</v>
      </c>
      <c r="E38" s="51">
        <v>0</v>
      </c>
    </row>
    <row r="39" spans="1:5" ht="25">
      <c r="A39" s="45" t="s">
        <v>506</v>
      </c>
      <c r="B39" s="46" t="s">
        <v>147</v>
      </c>
      <c r="C39" s="47"/>
      <c r="D39" s="44">
        <v>37984847186</v>
      </c>
      <c r="E39" s="44">
        <v>11247557144</v>
      </c>
    </row>
    <row r="40" spans="1:5" ht="25">
      <c r="A40" s="48" t="s">
        <v>507</v>
      </c>
      <c r="B40" s="49" t="s">
        <v>149</v>
      </c>
      <c r="C40" s="50"/>
      <c r="D40" s="51">
        <v>37984847186</v>
      </c>
      <c r="E40" s="51">
        <v>11247557144</v>
      </c>
    </row>
    <row r="41" spans="1:5" ht="25">
      <c r="A41" s="48" t="s">
        <v>498</v>
      </c>
      <c r="B41" s="49" t="s">
        <v>150</v>
      </c>
      <c r="C41" s="50"/>
      <c r="D41" s="51">
        <v>24244189710</v>
      </c>
      <c r="E41" s="51">
        <v>10889180537</v>
      </c>
    </row>
    <row r="42" spans="1:5" ht="25">
      <c r="A42" s="54" t="s">
        <v>499</v>
      </c>
      <c r="B42" s="55" t="s">
        <v>508</v>
      </c>
      <c r="C42" s="50"/>
      <c r="D42" s="51">
        <v>24244189710</v>
      </c>
      <c r="E42" s="51">
        <v>6389180537</v>
      </c>
    </row>
    <row r="43" spans="1:5" ht="25">
      <c r="A43" s="56" t="s">
        <v>501</v>
      </c>
      <c r="B43" s="55" t="s">
        <v>509</v>
      </c>
      <c r="C43" s="50"/>
      <c r="D43" s="51">
        <v>0</v>
      </c>
      <c r="E43" s="51">
        <v>4500000000</v>
      </c>
    </row>
    <row r="44" spans="1:5" ht="25">
      <c r="A44" s="54" t="s">
        <v>304</v>
      </c>
      <c r="B44" s="55" t="s">
        <v>510</v>
      </c>
      <c r="C44" s="50"/>
      <c r="D44" s="51">
        <v>0</v>
      </c>
      <c r="E44" s="51">
        <v>0</v>
      </c>
    </row>
    <row r="45" spans="1:5" ht="25">
      <c r="A45" s="48" t="s">
        <v>511</v>
      </c>
      <c r="B45" s="49" t="s">
        <v>152</v>
      </c>
      <c r="C45" s="50"/>
      <c r="D45" s="51">
        <v>13740657476</v>
      </c>
      <c r="E45" s="51">
        <v>358376607</v>
      </c>
    </row>
    <row r="46" spans="1:5" ht="25">
      <c r="A46" s="48" t="s">
        <v>512</v>
      </c>
      <c r="B46" s="49" t="s">
        <v>153</v>
      </c>
      <c r="C46" s="50"/>
      <c r="D46" s="51">
        <v>0</v>
      </c>
      <c r="E46" s="51">
        <v>0</v>
      </c>
    </row>
    <row r="47" spans="1:5" ht="25">
      <c r="A47" s="45" t="s">
        <v>513</v>
      </c>
      <c r="B47" s="46" t="s">
        <v>155</v>
      </c>
      <c r="C47" s="47"/>
      <c r="D47" s="44">
        <v>31275565759</v>
      </c>
      <c r="E47" s="44">
        <v>-18685335975</v>
      </c>
    </row>
    <row r="48" spans="1:5" ht="25">
      <c r="A48" s="45" t="s">
        <v>514</v>
      </c>
      <c r="B48" s="46" t="s">
        <v>196</v>
      </c>
      <c r="C48" s="47"/>
      <c r="D48" s="44">
        <v>0</v>
      </c>
      <c r="E48" s="44">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A635"/>
  <sheetViews>
    <sheetView workbookViewId="0"/>
  </sheetViews>
  <sheetFormatPr defaultRowHeight="12.5"/>
  <sheetData>
    <row r="1" spans="1:1">
      <c r="A1" t="str">
        <f>CONCATENATE("{'SheetId':'471cb1af-a389-4255-b9dd-016a7d1c6972'",",","'UId':'eb638313-ee71-4bfd-940d-ef3a321fcecf'",",'Col':",COLUMN(BCThuNhap_06203!C3),",'Row':",ROW(BCThuNhap_06203!C3),",","'Format':'string'",",'Value':'",SUBSTITUTE(BCThuNhap_06203!C3,"'","\'"),"','TargetCode':''}")</f>
        <v>{'SheetId':'471cb1af-a389-4255-b9dd-016a7d1c6972','UId':'eb638313-ee71-4bfd-940d-ef3a321fcecf','Col':3,'Row':3,'Format':'string','Value':'','TargetCode':''}</v>
      </c>
    </row>
    <row r="2" spans="1:1">
      <c r="A2" t="str">
        <f>CONCATENATE("{'SheetId':'471cb1af-a389-4255-b9dd-016a7d1c6972'",",","'UId':'72c31d99-6a74-4b21-8ea4-e7852cbcbd44'",",'Col':",COLUMN(BCThuNhap_06203!D3),",'Row':",ROW(BCThuNhap_06203!D3),",","'Format':'numberic'",",'Value':'",SUBSTITUTE(BCThuNhap_06203!D3,"'","\'"),"','TargetCode':''}")</f>
        <v>{'SheetId':'471cb1af-a389-4255-b9dd-016a7d1c6972','UId':'72c31d99-6a74-4b21-8ea4-e7852cbcbd44','Col':4,'Row':3,'Format':'numberic','Value':'43989150750','TargetCode':''}</v>
      </c>
    </row>
    <row r="3" spans="1:1">
      <c r="A3" t="str">
        <f>CONCATENATE("{'SheetId':'471cb1af-a389-4255-b9dd-016a7d1c6972'",",","'UId':'3559eab5-6f21-4a75-87c5-93fbcb750750'",",'Col':",COLUMN(BCThuNhap_06203!E3),",'Row':",ROW(BCThuNhap_06203!E3),",","'Format':'numberic'",",'Value':'",SUBSTITUTE(BCThuNhap_06203!E3,"'","\'"),"','TargetCode':''}")</f>
        <v>{'SheetId':'471cb1af-a389-4255-b9dd-016a7d1c6972','UId':'3559eab5-6f21-4a75-87c5-93fbcb750750','Col':5,'Row':3,'Format':'numberic','Value':'43989150750','TargetCode':''}</v>
      </c>
    </row>
    <row r="4" spans="1:1">
      <c r="A4" t="str">
        <f>CONCATENATE("{'SheetId':'471cb1af-a389-4255-b9dd-016a7d1c6972'",",","'UId':'05cac1a8-3049-4f91-b1ab-17788cc23517'",",'Col':",COLUMN(BCThuNhap_06203!F3),",'Row':",ROW(BCThuNhap_06203!F3),",","'Format':'numberic'",",'Value':'",SUBSTITUTE(BCThuNhap_06203!F3,"'","\'"),"','TargetCode':''}")</f>
        <v>{'SheetId':'471cb1af-a389-4255-b9dd-016a7d1c6972','UId':'05cac1a8-3049-4f91-b1ab-17788cc23517','Col':6,'Row':3,'Format':'numberic','Value':'-9951668795','TargetCode':''}</v>
      </c>
    </row>
    <row r="5" spans="1:1">
      <c r="A5" t="str">
        <f>CONCATENATE("{'SheetId':'471cb1af-a389-4255-b9dd-016a7d1c6972'",",","'UId':'ea4ba63c-5d5f-4409-9e7e-a6d98ae0aafa'",",'Col':",COLUMN(BCThuNhap_06203!G3),",'Row':",ROW(BCThuNhap_06203!G3),",","'Format':'numberic'",",'Value':'",SUBSTITUTE(BCThuNhap_06203!G3,"'","\'"),"','TargetCode':''}")</f>
        <v>{'SheetId':'471cb1af-a389-4255-b9dd-016a7d1c6972','UId':'ea4ba63c-5d5f-4409-9e7e-a6d98ae0aafa','Col':7,'Row':3,'Format':'numberic','Value':'-9951668795','TargetCode':''}</v>
      </c>
    </row>
    <row r="6" spans="1:1">
      <c r="A6" t="str">
        <f>CONCATENATE("{'SheetId':'471cb1af-a389-4255-b9dd-016a7d1c6972'",",","'UId':'00bea7d7-311e-426d-8b86-0cffdb25a98c'",",'Col':",COLUMN(BCThuNhap_06203!C4),",'Row':",ROW(BCThuNhap_06203!C4),",","'Format':'string'",",'Value':'",SUBSTITUTE(BCThuNhap_06203!C4,"'","\'"),"','TargetCode':''}")</f>
        <v>{'SheetId':'471cb1af-a389-4255-b9dd-016a7d1c6972','UId':'00bea7d7-311e-426d-8b86-0cffdb25a98c','Col':3,'Row':4,'Format':'string','Value':'','TargetCode':''}</v>
      </c>
    </row>
    <row r="7" spans="1:1">
      <c r="A7" t="str">
        <f>CONCATENATE("{'SheetId':'471cb1af-a389-4255-b9dd-016a7d1c6972'",",","'UId':'40d1fbb9-33fd-45ce-811f-f2fbfa9ac354'",",'Col':",COLUMN(BCThuNhap_06203!D4),",'Row':",ROW(BCThuNhap_06203!D4),",","'Format':'numberic'",",'Value':'",SUBSTITUTE(BCThuNhap_06203!D4,"'","\'"),"','TargetCode':''}")</f>
        <v>{'SheetId':'471cb1af-a389-4255-b9dd-016a7d1c6972','UId':'40d1fbb9-33fd-45ce-811f-f2fbfa9ac354','Col':4,'Row':4,'Format':'numberic','Value':'873859400','TargetCode':''}</v>
      </c>
    </row>
    <row r="8" spans="1:1">
      <c r="A8" t="str">
        <f>CONCATENATE("{'SheetId':'471cb1af-a389-4255-b9dd-016a7d1c6972'",",","'UId':'ad1976c4-37d8-4d7a-9cd4-7b31136b73ad'",",'Col':",COLUMN(BCThuNhap_06203!E4),",'Row':",ROW(BCThuNhap_06203!E4),",","'Format':'numberic'",",'Value':'",SUBSTITUTE(BCThuNhap_06203!E4,"'","\'"),"','TargetCode':''}")</f>
        <v>{'SheetId':'471cb1af-a389-4255-b9dd-016a7d1c6972','UId':'ad1976c4-37d8-4d7a-9cd4-7b31136b73ad','Col':5,'Row':4,'Format':'numberic','Value':'873859400','TargetCode':''}</v>
      </c>
    </row>
    <row r="9" spans="1:1">
      <c r="A9" t="str">
        <f>CONCATENATE("{'SheetId':'471cb1af-a389-4255-b9dd-016a7d1c6972'",",","'UId':'ee9edb2c-8f95-4914-a3da-9d0d48b70256'",",'Col':",COLUMN(BCThuNhap_06203!F4),",'Row':",ROW(BCThuNhap_06203!F4),",","'Format':'numberic'",",'Value':'",SUBSTITUTE(BCThuNhap_06203!F4,"'","\'"),"','TargetCode':''}")</f>
        <v>{'SheetId':'471cb1af-a389-4255-b9dd-016a7d1c6972','UId':'ee9edb2c-8f95-4914-a3da-9d0d48b70256','Col':6,'Row':4,'Format':'numberic','Value':'896651958','TargetCode':''}</v>
      </c>
    </row>
    <row r="10" spans="1:1">
      <c r="A10" t="str">
        <f>CONCATENATE("{'SheetId':'471cb1af-a389-4255-b9dd-016a7d1c6972'",",","'UId':'444b91d7-87bf-4a97-a74d-a9bbd39ded58'",",'Col':",COLUMN(BCThuNhap_06203!G4),",'Row':",ROW(BCThuNhap_06203!G4),",","'Format':'numberic'",",'Value':'",SUBSTITUTE(BCThuNhap_06203!G4,"'","\'"),"','TargetCode':''}")</f>
        <v>{'SheetId':'471cb1af-a389-4255-b9dd-016a7d1c6972','UId':'444b91d7-87bf-4a97-a74d-a9bbd39ded58','Col':7,'Row':4,'Format':'numberic','Value':'896651958','TargetCode':''}</v>
      </c>
    </row>
    <row r="11" spans="1:1">
      <c r="A11" t="str">
        <f>CONCATENATE("{'SheetId':'471cb1af-a389-4255-b9dd-016a7d1c6972'",",","'UId':'65643be7-5d9f-42af-bf89-dc387a30825b'",",'Col':",COLUMN(BCThuNhap_06203!C5),",'Row':",ROW(BCThuNhap_06203!C5),",","'Format':'string'",",'Value':'",SUBSTITUTE(BCThuNhap_06203!C5,"'","\'"),"','TargetCode':''}")</f>
        <v>{'SheetId':'471cb1af-a389-4255-b9dd-016a7d1c6972','UId':'65643be7-5d9f-42af-bf89-dc387a30825b','Col':3,'Row':5,'Format':'string','Value':'','TargetCode':''}</v>
      </c>
    </row>
    <row r="12" spans="1:1">
      <c r="A12" t="str">
        <f>CONCATENATE("{'SheetId':'471cb1af-a389-4255-b9dd-016a7d1c6972'",",","'UId':'fcff0891-3fec-4d78-a579-e57ecf5ca712'",",'Col':",COLUMN(BCThuNhap_06203!D5),",'Row':",ROW(BCThuNhap_06203!D5),",","'Format':'numberic'",",'Value':'",SUBSTITUTE(BCThuNhap_06203!D5,"'","\'"),"','TargetCode':''}")</f>
        <v>{'SheetId':'471cb1af-a389-4255-b9dd-016a7d1c6972','UId':'fcff0891-3fec-4d78-a579-e57ecf5ca712','Col':4,'Row':5,'Format':'numberic','Value':'0','TargetCode':''}</v>
      </c>
    </row>
    <row r="13" spans="1:1">
      <c r="A13" t="str">
        <f>CONCATENATE("{'SheetId':'471cb1af-a389-4255-b9dd-016a7d1c6972'",",","'UId':'de86de94-eec0-4d77-85d6-50d999fda99f'",",'Col':",COLUMN(BCThuNhap_06203!E5),",'Row':",ROW(BCThuNhap_06203!E5),",","'Format':'numberic'",",'Value':'",SUBSTITUTE(BCThuNhap_06203!E5,"'","\'"),"','TargetCode':''}")</f>
        <v>{'SheetId':'471cb1af-a389-4255-b9dd-016a7d1c6972','UId':'de86de94-eec0-4d77-85d6-50d999fda99f','Col':5,'Row':5,'Format':'numberic','Value':'0','TargetCode':''}</v>
      </c>
    </row>
    <row r="14" spans="1:1">
      <c r="A14" t="str">
        <f>CONCATENATE("{'SheetId':'471cb1af-a389-4255-b9dd-016a7d1c6972'",",","'UId':'8587c2c7-f9e1-4ff8-ac4d-999900df1813'",",'Col':",COLUMN(BCThuNhap_06203!F5),",'Row':",ROW(BCThuNhap_06203!F5),",","'Format':'numberic'",",'Value':'",SUBSTITUTE(BCThuNhap_06203!F5,"'","\'"),"','TargetCode':''}")</f>
        <v>{'SheetId':'471cb1af-a389-4255-b9dd-016a7d1c6972','UId':'8587c2c7-f9e1-4ff8-ac4d-999900df1813','Col':6,'Row':5,'Format':'numberic','Value':'362779802','TargetCode':''}</v>
      </c>
    </row>
    <row r="15" spans="1:1">
      <c r="A15" t="str">
        <f>CONCATENATE("{'SheetId':'471cb1af-a389-4255-b9dd-016a7d1c6972'",",","'UId':'16523899-72b2-4d68-bc1c-076cac2b3bca'",",'Col':",COLUMN(BCThuNhap_06203!G5),",'Row':",ROW(BCThuNhap_06203!G5),",","'Format':'numberic'",",'Value':'",SUBSTITUTE(BCThuNhap_06203!G5,"'","\'"),"','TargetCode':''}")</f>
        <v>{'SheetId':'471cb1af-a389-4255-b9dd-016a7d1c6972','UId':'16523899-72b2-4d68-bc1c-076cac2b3bca','Col':7,'Row':5,'Format':'numberic','Value':'362779802','TargetCode':''}</v>
      </c>
    </row>
    <row r="16" spans="1:1">
      <c r="A16" t="str">
        <f>CONCATENATE("{'SheetId':'471cb1af-a389-4255-b9dd-016a7d1c6972'",",","'UId':'f071c28b-d53b-4090-bf20-125d105136b1'",",'Col':",COLUMN(BCThuNhap_06203!C6),",'Row':",ROW(BCThuNhap_06203!C6),",","'Format':'string'",",'Value':'",SUBSTITUTE(BCThuNhap_06203!C6,"'","\'"),"','TargetCode':''}")</f>
        <v>{'SheetId':'471cb1af-a389-4255-b9dd-016a7d1c6972','UId':'f071c28b-d53b-4090-bf20-125d105136b1','Col':3,'Row':6,'Format':'string','Value':'','TargetCode':''}</v>
      </c>
    </row>
    <row r="17" spans="1:1">
      <c r="A17" t="str">
        <f>CONCATENATE("{'SheetId':'471cb1af-a389-4255-b9dd-016a7d1c6972'",",","'UId':'cf1c5639-e0b5-42ca-a5d6-22c6a78274eb'",",'Col':",COLUMN(BCThuNhap_06203!D6),",'Row':",ROW(BCThuNhap_06203!D6),",","'Format':'numberic'",",'Value':'",SUBSTITUTE(BCThuNhap_06203!D6,"'","\'"),"','TargetCode':''}")</f>
        <v>{'SheetId':'471cb1af-a389-4255-b9dd-016a7d1c6972','UId':'cf1c5639-e0b5-42ca-a5d6-22c6a78274eb','Col':4,'Row':6,'Format':'numberic','Value':'0','TargetCode':''}</v>
      </c>
    </row>
    <row r="18" spans="1:1">
      <c r="A18" t="str">
        <f>CONCATENATE("{'SheetId':'471cb1af-a389-4255-b9dd-016a7d1c6972'",",","'UId':'40f96a3c-2ca1-4c8b-8736-6d178def474b'",",'Col':",COLUMN(BCThuNhap_06203!E6),",'Row':",ROW(BCThuNhap_06203!E6),",","'Format':'numberic'",",'Value':'",SUBSTITUTE(BCThuNhap_06203!E6,"'","\'"),"','TargetCode':''}")</f>
        <v>{'SheetId':'471cb1af-a389-4255-b9dd-016a7d1c6972','UId':'40f96a3c-2ca1-4c8b-8736-6d178def474b','Col':5,'Row':6,'Format':'numberic','Value':'0','TargetCode':''}</v>
      </c>
    </row>
    <row r="19" spans="1:1">
      <c r="A19" t="str">
        <f>CONCATENATE("{'SheetId':'471cb1af-a389-4255-b9dd-016a7d1c6972'",",","'UId':'e40ee616-be98-47ed-9eef-5047f82d9953'",",'Col':",COLUMN(BCThuNhap_06203!F6),",'Row':",ROW(BCThuNhap_06203!F6),",","'Format':'numberic'",",'Value':'",SUBSTITUTE(BCThuNhap_06203!F6,"'","\'"),"','TargetCode':''}")</f>
        <v>{'SheetId':'471cb1af-a389-4255-b9dd-016a7d1c6972','UId':'e40ee616-be98-47ed-9eef-5047f82d9953','Col':6,'Row':6,'Format':'numberic','Value':'148192397','TargetCode':''}</v>
      </c>
    </row>
    <row r="20" spans="1:1">
      <c r="A20" t="str">
        <f>CONCATENATE("{'SheetId':'471cb1af-a389-4255-b9dd-016a7d1c6972'",",","'UId':'13a075ca-918e-4ac5-8764-1ca112b384c5'",",'Col':",COLUMN(BCThuNhap_06203!G6),",'Row':",ROW(BCThuNhap_06203!G6),",","'Format':'numberic'",",'Value':'",SUBSTITUTE(BCThuNhap_06203!G6,"'","\'"),"','TargetCode':''}")</f>
        <v>{'SheetId':'471cb1af-a389-4255-b9dd-016a7d1c6972','UId':'13a075ca-918e-4ac5-8764-1ca112b384c5','Col':7,'Row':6,'Format':'numberic','Value':'148192397','TargetCode':''}</v>
      </c>
    </row>
    <row r="21" spans="1:1">
      <c r="A21" t="str">
        <f>CONCATENATE("{'SheetId':'471cb1af-a389-4255-b9dd-016a7d1c6972'",",","'UId':'56a50086-904c-4028-b883-90c9fe34a40f'",",'Col':",COLUMN(BCThuNhap_06203!C7),",'Row':",ROW(BCThuNhap_06203!C7),",","'Format':'string'",",'Value':'",SUBSTITUTE(BCThuNhap_06203!C7,"'","\'"),"','TargetCode':''}")</f>
        <v>{'SheetId':'471cb1af-a389-4255-b9dd-016a7d1c6972','UId':'56a50086-904c-4028-b883-90c9fe34a40f','Col':3,'Row':7,'Format':'string','Value':'','TargetCode':''}</v>
      </c>
    </row>
    <row r="22" spans="1:1">
      <c r="A22" t="str">
        <f>CONCATENATE("{'SheetId':'471cb1af-a389-4255-b9dd-016a7d1c6972'",",","'UId':'16702e7d-f552-451b-8042-8f7e46560afd'",",'Col':",COLUMN(BCThuNhap_06203!D7),",'Row':",ROW(BCThuNhap_06203!D7),",","'Format':'numberic'",",'Value':'",SUBSTITUTE(BCThuNhap_06203!D7,"'","\'"),"','TargetCode':''}")</f>
        <v>{'SheetId':'471cb1af-a389-4255-b9dd-016a7d1c6972','UId':'16702e7d-f552-451b-8042-8f7e46560afd','Col':4,'Row':7,'Format':'numberic','Value':'0','TargetCode':''}</v>
      </c>
    </row>
    <row r="23" spans="1:1">
      <c r="A23" t="str">
        <f>CONCATENATE("{'SheetId':'471cb1af-a389-4255-b9dd-016a7d1c6972'",",","'UId':'8a97c211-65b5-43fd-bfed-ef91033697c8'",",'Col':",COLUMN(BCThuNhap_06203!E7),",'Row':",ROW(BCThuNhap_06203!E7),",","'Format':'numberic'",",'Value':'",SUBSTITUTE(BCThuNhap_06203!E7,"'","\'"),"','TargetCode':''}")</f>
        <v>{'SheetId':'471cb1af-a389-4255-b9dd-016a7d1c6972','UId':'8a97c211-65b5-43fd-bfed-ef91033697c8','Col':5,'Row':7,'Format':'numberic','Value':'0','TargetCode':''}</v>
      </c>
    </row>
    <row r="24" spans="1:1">
      <c r="A24" t="str">
        <f>CONCATENATE("{'SheetId':'471cb1af-a389-4255-b9dd-016a7d1c6972'",",","'UId':'c405662e-07af-4536-92d6-564ba20dcbf1'",",'Col':",COLUMN(BCThuNhap_06203!F7),",'Row':",ROW(BCThuNhap_06203!F7),",","'Format':'numberic'",",'Value':'",SUBSTITUTE(BCThuNhap_06203!F7,"'","\'"),"','TargetCode':''}")</f>
        <v>{'SheetId':'471cb1af-a389-4255-b9dd-016a7d1c6972','UId':'c405662e-07af-4536-92d6-564ba20dcbf1','Col':6,'Row':7,'Format':'numberic','Value':'0','TargetCode':''}</v>
      </c>
    </row>
    <row r="25" spans="1:1">
      <c r="A25" t="str">
        <f>CONCATENATE("{'SheetId':'471cb1af-a389-4255-b9dd-016a7d1c6972'",",","'UId':'5a4b1726-2a01-402d-91ab-bf0a10fc29cc'",",'Col':",COLUMN(BCThuNhap_06203!G7),",'Row':",ROW(BCThuNhap_06203!G7),",","'Format':'numberic'",",'Value':'",SUBSTITUTE(BCThuNhap_06203!G7,"'","\'"),"','TargetCode':''}")</f>
        <v>{'SheetId':'471cb1af-a389-4255-b9dd-016a7d1c6972','UId':'5a4b1726-2a01-402d-91ab-bf0a10fc29cc','Col':7,'Row':7,'Format':'numberic','Value':'0','TargetCode':''}</v>
      </c>
    </row>
    <row r="26" spans="1:1">
      <c r="A26" t="str">
        <f>CONCATENATE("{'SheetId':'471cb1af-a389-4255-b9dd-016a7d1c6972'",",","'UId':'0704adfd-6a36-40cf-9fa3-f99142785a42'",",'Col':",COLUMN(BCThuNhap_06203!C8),",'Row':",ROW(BCThuNhap_06203!C8),",","'Format':'string'",",'Value':'",SUBSTITUTE(BCThuNhap_06203!C8,"'","\'"),"','TargetCode':''}")</f>
        <v>{'SheetId':'471cb1af-a389-4255-b9dd-016a7d1c6972','UId':'0704adfd-6a36-40cf-9fa3-f99142785a42','Col':3,'Row':8,'Format':'string','Value':'','TargetCode':''}</v>
      </c>
    </row>
    <row r="27" spans="1:1">
      <c r="A27" t="str">
        <f>CONCATENATE("{'SheetId':'471cb1af-a389-4255-b9dd-016a7d1c6972'",",","'UId':'dfb48018-df02-4270-8ce8-b888d5fff959'",",'Col':",COLUMN(BCThuNhap_06203!D8),",'Row':",ROW(BCThuNhap_06203!D8),",","'Format':'numberic'",",'Value':'",SUBSTITUTE(BCThuNhap_06203!D8,"'","\'"),"','TargetCode':''}")</f>
        <v>{'SheetId':'471cb1af-a389-4255-b9dd-016a7d1c6972','UId':'dfb48018-df02-4270-8ce8-b888d5fff959','Col':4,'Row':8,'Format':'numberic','Value':'0','TargetCode':''}</v>
      </c>
    </row>
    <row r="28" spans="1:1">
      <c r="A28" t="str">
        <f>CONCATENATE("{'SheetId':'471cb1af-a389-4255-b9dd-016a7d1c6972'",",","'UId':'0a1b1de5-7d3f-42d1-816e-24600e1c306f'",",'Col':",COLUMN(BCThuNhap_06203!E8),",'Row':",ROW(BCThuNhap_06203!E8),",","'Format':'numberic'",",'Value':'",SUBSTITUTE(BCThuNhap_06203!E8,"'","\'"),"','TargetCode':''}")</f>
        <v>{'SheetId':'471cb1af-a389-4255-b9dd-016a7d1c6972','UId':'0a1b1de5-7d3f-42d1-816e-24600e1c306f','Col':5,'Row':8,'Format':'numberic','Value':'0','TargetCode':''}</v>
      </c>
    </row>
    <row r="29" spans="1:1">
      <c r="A29" t="str">
        <f>CONCATENATE("{'SheetId':'471cb1af-a389-4255-b9dd-016a7d1c6972'",",","'UId':'78449dbc-0262-416c-ae9a-2cad20a8a31d'",",'Col':",COLUMN(BCThuNhap_06203!F8),",'Row':",ROW(BCThuNhap_06203!F8),",","'Format':'numberic'",",'Value':'",SUBSTITUTE(BCThuNhap_06203!F8,"'","\'"),"','TargetCode':''}")</f>
        <v>{'SheetId':'471cb1af-a389-4255-b9dd-016a7d1c6972','UId':'78449dbc-0262-416c-ae9a-2cad20a8a31d','Col':6,'Row':8,'Format':'numberic','Value':'214587405','TargetCode':''}</v>
      </c>
    </row>
    <row r="30" spans="1:1">
      <c r="A30" t="str">
        <f>CONCATENATE("{'SheetId':'471cb1af-a389-4255-b9dd-016a7d1c6972'",",","'UId':'1aaec8a7-4b30-4fb4-95ed-b5ac8e0e4b00'",",'Col':",COLUMN(BCThuNhap_06203!G8),",'Row':",ROW(BCThuNhap_06203!G8),",","'Format':'numberic'",",'Value':'",SUBSTITUTE(BCThuNhap_06203!G8,"'","\'"),"','TargetCode':''}")</f>
        <v>{'SheetId':'471cb1af-a389-4255-b9dd-016a7d1c6972','UId':'1aaec8a7-4b30-4fb4-95ed-b5ac8e0e4b00','Col':7,'Row':8,'Format':'numberic','Value':'214587405','TargetCode':''}</v>
      </c>
    </row>
    <row r="31" spans="1:1">
      <c r="A31" t="str">
        <f>CONCATENATE("{'SheetId':'471cb1af-a389-4255-b9dd-016a7d1c6972'",",","'UId':'4fcbfe51-56bd-475f-a1cb-69db332e1845'",",'Col':",COLUMN(BCThuNhap_06203!C9),",'Row':",ROW(BCThuNhap_06203!C9),",","'Format':'string'",",'Value':'",SUBSTITUTE(BCThuNhap_06203!C9,"'","\'"),"','TargetCode':''}")</f>
        <v>{'SheetId':'471cb1af-a389-4255-b9dd-016a7d1c6972','UId':'4fcbfe51-56bd-475f-a1cb-69db332e1845','Col':3,'Row':9,'Format':'string','Value':'','TargetCode':''}</v>
      </c>
    </row>
    <row r="32" spans="1:1">
      <c r="A32" t="str">
        <f>CONCATENATE("{'SheetId':'471cb1af-a389-4255-b9dd-016a7d1c6972'",",","'UId':'b8924e70-d030-4234-a836-d28fa24ce413'",",'Col':",COLUMN(BCThuNhap_06203!D9),",'Row':",ROW(BCThuNhap_06203!D9),",","'Format':'numberic'",",'Value':'",SUBSTITUTE(BCThuNhap_06203!D9,"'","\'"),"','TargetCode':''}")</f>
        <v>{'SheetId':'471cb1af-a389-4255-b9dd-016a7d1c6972','UId':'b8924e70-d030-4234-a836-d28fa24ce413','Col':4,'Row':9,'Format':'numberic','Value':'0','TargetCode':''}</v>
      </c>
    </row>
    <row r="33" spans="1:1">
      <c r="A33" t="str">
        <f>CONCATENATE("{'SheetId':'471cb1af-a389-4255-b9dd-016a7d1c6972'",",","'UId':'fa0f939c-ad55-4a32-b877-51da40386e3b'",",'Col':",COLUMN(BCThuNhap_06203!E9),",'Row':",ROW(BCThuNhap_06203!E9),",","'Format':'numberic'",",'Value':'",SUBSTITUTE(BCThuNhap_06203!E9,"'","\'"),"','TargetCode':''}")</f>
        <v>{'SheetId':'471cb1af-a389-4255-b9dd-016a7d1c6972','UId':'fa0f939c-ad55-4a32-b877-51da40386e3b','Col':5,'Row':9,'Format':'numberic','Value':'0','TargetCode':''}</v>
      </c>
    </row>
    <row r="34" spans="1:1">
      <c r="A34" t="str">
        <f>CONCATENATE("{'SheetId':'471cb1af-a389-4255-b9dd-016a7d1c6972'",",","'UId':'6081713b-7e0d-419f-874e-9c24b30d259e'",",'Col':",COLUMN(BCThuNhap_06203!F9),",'Row':",ROW(BCThuNhap_06203!F9),",","'Format':'numberic'",",'Value':'",SUBSTITUTE(BCThuNhap_06203!F9,"'","\'"),"','TargetCode':''}")</f>
        <v>{'SheetId':'471cb1af-a389-4255-b9dd-016a7d1c6972','UId':'6081713b-7e0d-419f-874e-9c24b30d259e','Col':6,'Row':9,'Format':'numberic','Value':'0','TargetCode':''}</v>
      </c>
    </row>
    <row r="35" spans="1:1">
      <c r="A35" t="str">
        <f>CONCATENATE("{'SheetId':'471cb1af-a389-4255-b9dd-016a7d1c6972'",",","'UId':'779ccf6c-3f2a-4ad7-a977-719eb78d13c0'",",'Col':",COLUMN(BCThuNhap_06203!G9),",'Row':",ROW(BCThuNhap_06203!G9),",","'Format':'numberic'",",'Value':'",SUBSTITUTE(BCThuNhap_06203!G9,"'","\'"),"','TargetCode':''}")</f>
        <v>{'SheetId':'471cb1af-a389-4255-b9dd-016a7d1c6972','UId':'779ccf6c-3f2a-4ad7-a977-719eb78d13c0','Col':7,'Row':9,'Format':'numberic','Value':'0','TargetCode':''}</v>
      </c>
    </row>
    <row r="36" spans="1:1">
      <c r="A36" t="str">
        <f>CONCATENATE("{'SheetId':'471cb1af-a389-4255-b9dd-016a7d1c6972'",",","'UId':'c28a2787-35eb-4bfb-8d73-91a998a3194c'",",'Col':",COLUMN(BCThuNhap_06203!C10),",'Row':",ROW(BCThuNhap_06203!C10),",","'Format':'string'",",'Value':'",SUBSTITUTE(BCThuNhap_06203!C10,"'","\'"),"','TargetCode':''}")</f>
        <v>{'SheetId':'471cb1af-a389-4255-b9dd-016a7d1c6972','UId':'c28a2787-35eb-4bfb-8d73-91a998a3194c','Col':3,'Row':10,'Format':'string','Value':'','TargetCode':''}</v>
      </c>
    </row>
    <row r="37" spans="1:1">
      <c r="A37" t="str">
        <f>CONCATENATE("{'SheetId':'471cb1af-a389-4255-b9dd-016a7d1c6972'",",","'UId':'bf902ed8-0109-4674-a1cc-62592f1b92d9'",",'Col':",COLUMN(BCThuNhap_06203!D10),",'Row':",ROW(BCThuNhap_06203!D10),",","'Format':'numberic'",",'Value':'",SUBSTITUTE(BCThuNhap_06203!D10,"'","\'"),"','TargetCode':''}")</f>
        <v>{'SheetId':'471cb1af-a389-4255-b9dd-016a7d1c6972','UId':'bf902ed8-0109-4674-a1cc-62592f1b92d9','Col':4,'Row':10,'Format':'numberic','Value':'5284288740','TargetCode':''}</v>
      </c>
    </row>
    <row r="38" spans="1:1">
      <c r="A38" t="str">
        <f>CONCATENATE("{'SheetId':'471cb1af-a389-4255-b9dd-016a7d1c6972'",",","'UId':'8ba89cf9-4c91-4da8-b892-09e4876fe985'",",'Col':",COLUMN(BCThuNhap_06203!E10),",'Row':",ROW(BCThuNhap_06203!E10),",","'Format':'numberic'",",'Value':'",SUBSTITUTE(BCThuNhap_06203!E10,"'","\'"),"','TargetCode':''}")</f>
        <v>{'SheetId':'471cb1af-a389-4255-b9dd-016a7d1c6972','UId':'8ba89cf9-4c91-4da8-b892-09e4876fe985','Col':5,'Row':10,'Format':'numberic','Value':'5284288740','TargetCode':''}</v>
      </c>
    </row>
    <row r="39" spans="1:1">
      <c r="A39" t="str">
        <f>CONCATENATE("{'SheetId':'471cb1af-a389-4255-b9dd-016a7d1c6972'",",","'UId':'7c9bffa2-9a74-4128-9c5d-bbc98558406e'",",'Col':",COLUMN(BCThuNhap_06203!F10),",'Row':",ROW(BCThuNhap_06203!F10),",","'Format':'numberic'",",'Value':'",SUBSTITUTE(BCThuNhap_06203!F10,"'","\'"),"','TargetCode':''}")</f>
        <v>{'SheetId':'471cb1af-a389-4255-b9dd-016a7d1c6972','UId':'7c9bffa2-9a74-4128-9c5d-bbc98558406e','Col':6,'Row':10,'Format':'numberic','Value':'-2938961945','TargetCode':''}</v>
      </c>
    </row>
    <row r="40" spans="1:1">
      <c r="A40" t="str">
        <f>CONCATENATE("{'SheetId':'471cb1af-a389-4255-b9dd-016a7d1c6972'",",","'UId':'6e0f4d2a-a0c3-4f49-b576-423e4fda275c'",",'Col':",COLUMN(BCThuNhap_06203!G10),",'Row':",ROW(BCThuNhap_06203!G10),",","'Format':'numberic'",",'Value':'",SUBSTITUTE(BCThuNhap_06203!G10,"'","\'"),"','TargetCode':''}")</f>
        <v>{'SheetId':'471cb1af-a389-4255-b9dd-016a7d1c6972','UId':'6e0f4d2a-a0c3-4f49-b576-423e4fda275c','Col':7,'Row':10,'Format':'numberic','Value':'-2938961945','TargetCode':''}</v>
      </c>
    </row>
    <row r="41" spans="1:1">
      <c r="A41" t="str">
        <f>CONCATENATE("{'SheetId':'471cb1af-a389-4255-b9dd-016a7d1c6972'",",","'UId':'e6951e92-595a-438d-b407-88fcda037e29'",",'Col':",COLUMN(BCThuNhap_06203!C11),",'Row':",ROW(BCThuNhap_06203!C11),",","'Format':'string'",",'Value':'",SUBSTITUTE(BCThuNhap_06203!C11,"'","\'"),"','TargetCode':''}")</f>
        <v>{'SheetId':'471cb1af-a389-4255-b9dd-016a7d1c6972','UId':'e6951e92-595a-438d-b407-88fcda037e29','Col':3,'Row':11,'Format':'string','Value':'','TargetCode':''}</v>
      </c>
    </row>
    <row r="42" spans="1:1">
      <c r="A42" t="str">
        <f>CONCATENATE("{'SheetId':'471cb1af-a389-4255-b9dd-016a7d1c6972'",",","'UId':'68f52c9d-ed20-4157-8f0a-5565542d239d'",",'Col':",COLUMN(BCThuNhap_06203!D11),",'Row':",ROW(BCThuNhap_06203!D11),",","'Format':'numberic'",",'Value':'",SUBSTITUTE(BCThuNhap_06203!D11,"'","\'"),"','TargetCode':''}")</f>
        <v>{'SheetId':'471cb1af-a389-4255-b9dd-016a7d1c6972','UId':'68f52c9d-ed20-4157-8f0a-5565542d239d','Col':4,'Row':11,'Format':'numberic','Value':'37831002610','TargetCode':''}</v>
      </c>
    </row>
    <row r="43" spans="1:1">
      <c r="A43" t="str">
        <f>CONCATENATE("{'SheetId':'471cb1af-a389-4255-b9dd-016a7d1c6972'",",","'UId':'931d9a25-062a-481a-bb83-b6593ce5ad0e'",",'Col':",COLUMN(BCThuNhap_06203!E11),",'Row':",ROW(BCThuNhap_06203!E11),",","'Format':'numberic'",",'Value':'",SUBSTITUTE(BCThuNhap_06203!E11,"'","\'"),"','TargetCode':''}")</f>
        <v>{'SheetId':'471cb1af-a389-4255-b9dd-016a7d1c6972','UId':'931d9a25-062a-481a-bb83-b6593ce5ad0e','Col':5,'Row':11,'Format':'numberic','Value':'37831002610','TargetCode':''}</v>
      </c>
    </row>
    <row r="44" spans="1:1">
      <c r="A44" t="str">
        <f>CONCATENATE("{'SheetId':'471cb1af-a389-4255-b9dd-016a7d1c6972'",",","'UId':'05814b77-87f5-4969-b441-4ed481d003cf'",",'Col':",COLUMN(BCThuNhap_06203!F11),",'Row':",ROW(BCThuNhap_06203!F11),",","'Format':'numberic'",",'Value':'",SUBSTITUTE(BCThuNhap_06203!F11,"'","\'"),"','TargetCode':''}")</f>
        <v>{'SheetId':'471cb1af-a389-4255-b9dd-016a7d1c6972','UId':'05814b77-87f5-4969-b441-4ed481d003cf','Col':6,'Row':11,'Format':'numberic','Value':'-8272138610','TargetCode':''}</v>
      </c>
    </row>
    <row r="45" spans="1:1">
      <c r="A45" t="str">
        <f>CONCATENATE("{'SheetId':'471cb1af-a389-4255-b9dd-016a7d1c6972'",",","'UId':'778fdb84-1461-4af6-bb33-3c4d112c112c'",",'Col':",COLUMN(BCThuNhap_06203!G11),",'Row':",ROW(BCThuNhap_06203!G11),",","'Format':'numberic'",",'Value':'",SUBSTITUTE(BCThuNhap_06203!G11,"'","\'"),"','TargetCode':''}")</f>
        <v>{'SheetId':'471cb1af-a389-4255-b9dd-016a7d1c6972','UId':'778fdb84-1461-4af6-bb33-3c4d112c112c','Col':7,'Row':11,'Format':'numberic','Value':'-8272138610','TargetCode':''}</v>
      </c>
    </row>
    <row r="46" spans="1:1">
      <c r="A46" t="str">
        <f>CONCATENATE("{'SheetId':'471cb1af-a389-4255-b9dd-016a7d1c6972'",",","'UId':'226270c7-7754-40de-95f8-77c8669cc267'",",'Col':",COLUMN(BCThuNhap_06203!C12),",'Row':",ROW(BCThuNhap_06203!C12),",","'Format':'string'",",'Value':'",SUBSTITUTE(BCThuNhap_06203!C12,"'","\'"),"','TargetCode':''}")</f>
        <v>{'SheetId':'471cb1af-a389-4255-b9dd-016a7d1c6972','UId':'226270c7-7754-40de-95f8-77c8669cc267','Col':3,'Row':12,'Format':'string','Value':'','TargetCode':''}</v>
      </c>
    </row>
    <row r="47" spans="1:1">
      <c r="A47" t="str">
        <f>CONCATENATE("{'SheetId':'471cb1af-a389-4255-b9dd-016a7d1c6972'",",","'UId':'d26ad73b-b259-4fff-870e-af1b4efc9b4c'",",'Col':",COLUMN(BCThuNhap_06203!D12),",'Row':",ROW(BCThuNhap_06203!D12),",","'Format':'numberic'",",'Value':'",SUBSTITUTE(BCThuNhap_06203!D12,"'","\'"),"','TargetCode':''}")</f>
        <v>{'SheetId':'471cb1af-a389-4255-b9dd-016a7d1c6972','UId':'d26ad73b-b259-4fff-870e-af1b4efc9b4c','Col':4,'Row':12,'Format':'numberic','Value':'0','TargetCode':''}</v>
      </c>
    </row>
    <row r="48" spans="1:1">
      <c r="A48" t="str">
        <f>CONCATENATE("{'SheetId':'471cb1af-a389-4255-b9dd-016a7d1c6972'",",","'UId':'1b2c2bb9-fd0f-4f6a-ae5f-0ee2f0e1d4dd'",",'Col':",COLUMN(BCThuNhap_06203!E12),",'Row':",ROW(BCThuNhap_06203!E12),",","'Format':'numberic'",",'Value':'",SUBSTITUTE(BCThuNhap_06203!E12,"'","\'"),"','TargetCode':''}")</f>
        <v>{'SheetId':'471cb1af-a389-4255-b9dd-016a7d1c6972','UId':'1b2c2bb9-fd0f-4f6a-ae5f-0ee2f0e1d4dd','Col':5,'Row':12,'Format':'numberic','Value':'0','TargetCode':''}</v>
      </c>
    </row>
    <row r="49" spans="1:1">
      <c r="A49" t="str">
        <f>CONCATENATE("{'SheetId':'471cb1af-a389-4255-b9dd-016a7d1c6972'",",","'UId':'98ca5d5f-758a-4875-a29b-e407fe462d50'",",'Col':",COLUMN(BCThuNhap_06203!F12),",'Row':",ROW(BCThuNhap_06203!F12),",","'Format':'numberic'",",'Value':'",SUBSTITUTE(BCThuNhap_06203!F12,"'","\'"),"','TargetCode':''}")</f>
        <v>{'SheetId':'471cb1af-a389-4255-b9dd-016a7d1c6972','UId':'98ca5d5f-758a-4875-a29b-e407fe462d50','Col':6,'Row':12,'Format':'numberic','Value':'0','TargetCode':''}</v>
      </c>
    </row>
    <row r="50" spans="1:1">
      <c r="A50" t="str">
        <f>CONCATENATE("{'SheetId':'471cb1af-a389-4255-b9dd-016a7d1c6972'",",","'UId':'a4d388b3-6ab8-429d-9966-b7072d52ca3d'",",'Col':",COLUMN(BCThuNhap_06203!G12),",'Row':",ROW(BCThuNhap_06203!G12),",","'Format':'numberic'",",'Value':'",SUBSTITUTE(BCThuNhap_06203!G12,"'","\'"),"','TargetCode':''}")</f>
        <v>{'SheetId':'471cb1af-a389-4255-b9dd-016a7d1c6972','UId':'a4d388b3-6ab8-429d-9966-b7072d52ca3d','Col':7,'Row':12,'Format':'numberic','Value':'0','TargetCode':''}</v>
      </c>
    </row>
    <row r="51" spans="1:1">
      <c r="A51" t="str">
        <f>CONCATENATE("{'SheetId':'471cb1af-a389-4255-b9dd-016a7d1c6972'",",","'UId':'293f574f-6478-4cae-9acc-9a49a0a249fe'",",'Col':",COLUMN(BCThuNhap_06203!C13),",'Row':",ROW(BCThuNhap_06203!C13),",","'Format':'string'",",'Value':'",SUBSTITUTE(BCThuNhap_06203!C13,"'","\'"),"','TargetCode':''}")</f>
        <v>{'SheetId':'471cb1af-a389-4255-b9dd-016a7d1c6972','UId':'293f574f-6478-4cae-9acc-9a49a0a249fe','Col':3,'Row':13,'Format':'string','Value':'','TargetCode':''}</v>
      </c>
    </row>
    <row r="52" spans="1:1">
      <c r="A52" t="str">
        <f>CONCATENATE("{'SheetId':'471cb1af-a389-4255-b9dd-016a7d1c6972'",",","'UId':'12373433-143b-445b-80b8-7e2d1aba8f47'",",'Col':",COLUMN(BCThuNhap_06203!D13),",'Row':",ROW(BCThuNhap_06203!D13),",","'Format':'numberic'",",'Value':'",SUBSTITUTE(BCThuNhap_06203!D13,"'","\'"),"','TargetCode':''}")</f>
        <v>{'SheetId':'471cb1af-a389-4255-b9dd-016a7d1c6972','UId':'12373433-143b-445b-80b8-7e2d1aba8f47','Col':4,'Row':13,'Format':'numberic','Value':'0','TargetCode':''}</v>
      </c>
    </row>
    <row r="53" spans="1:1">
      <c r="A53" t="str">
        <f>CONCATENATE("{'SheetId':'471cb1af-a389-4255-b9dd-016a7d1c6972'",",","'UId':'eb3713bf-fc27-48aa-84e5-3b22f691ec58'",",'Col':",COLUMN(BCThuNhap_06203!E13),",'Row':",ROW(BCThuNhap_06203!E13),",","'Format':'numberic'",",'Value':'",SUBSTITUTE(BCThuNhap_06203!E13,"'","\'"),"','TargetCode':''}")</f>
        <v>{'SheetId':'471cb1af-a389-4255-b9dd-016a7d1c6972','UId':'eb3713bf-fc27-48aa-84e5-3b22f691ec58','Col':5,'Row':13,'Format':'numberic','Value':'0','TargetCode':''}</v>
      </c>
    </row>
    <row r="54" spans="1:1">
      <c r="A54" t="str">
        <f>CONCATENATE("{'SheetId':'471cb1af-a389-4255-b9dd-016a7d1c6972'",",","'UId':'f1035bf2-649e-43ce-a420-3a4865026239'",",'Col':",COLUMN(BCThuNhap_06203!F13),",'Row':",ROW(BCThuNhap_06203!F13),",","'Format':'numberic'",",'Value':'",SUBSTITUTE(BCThuNhap_06203!F13,"'","\'"),"','TargetCode':''}")</f>
        <v>{'SheetId':'471cb1af-a389-4255-b9dd-016a7d1c6972','UId':'f1035bf2-649e-43ce-a420-3a4865026239','Col':6,'Row':13,'Format':'numberic','Value':'0','TargetCode':''}</v>
      </c>
    </row>
    <row r="55" spans="1:1">
      <c r="A55" t="str">
        <f>CONCATENATE("{'SheetId':'471cb1af-a389-4255-b9dd-016a7d1c6972'",",","'UId':'8f180994-f336-46dd-9c04-02c6c48496ac'",",'Col':",COLUMN(BCThuNhap_06203!G13),",'Row':",ROW(BCThuNhap_06203!G13),",","'Format':'numberic'",",'Value':'",SUBSTITUTE(BCThuNhap_06203!G13,"'","\'"),"','TargetCode':''}")</f>
        <v>{'SheetId':'471cb1af-a389-4255-b9dd-016a7d1c6972','UId':'8f180994-f336-46dd-9c04-02c6c48496ac','Col':7,'Row':13,'Format':'numberic','Value':'0','TargetCode':''}</v>
      </c>
    </row>
    <row r="56" spans="1:1">
      <c r="A56" t="str">
        <f>CONCATENATE("{'SheetId':'471cb1af-a389-4255-b9dd-016a7d1c6972'",",","'UId':'79024f93-3d7d-4de5-990a-280127663ceb'",",'Col':",COLUMN(BCThuNhap_06203!C14),",'Row':",ROW(BCThuNhap_06203!C14),",","'Format':'string'",",'Value':'",SUBSTITUTE(BCThuNhap_06203!C14,"'","\'"),"','TargetCode':''}")</f>
        <v>{'SheetId':'471cb1af-a389-4255-b9dd-016a7d1c6972','UId':'79024f93-3d7d-4de5-990a-280127663ceb','Col':3,'Row':14,'Format':'string','Value':'','TargetCode':''}</v>
      </c>
    </row>
    <row r="57" spans="1:1">
      <c r="A57" t="str">
        <f>CONCATENATE("{'SheetId':'471cb1af-a389-4255-b9dd-016a7d1c6972'",",","'UId':'54e90757-9d8a-4f05-adea-9f245c42276c'",",'Col':",COLUMN(BCThuNhap_06203!D14),",'Row':",ROW(BCThuNhap_06203!D14),",","'Format':'numberic'",",'Value':'",SUBSTITUTE(BCThuNhap_06203!D14,"'","\'"),"','TargetCode':''}")</f>
        <v>{'SheetId':'471cb1af-a389-4255-b9dd-016a7d1c6972','UId':'54e90757-9d8a-4f05-adea-9f245c42276c','Col':4,'Row':14,'Format':'numberic','Value':'0','TargetCode':''}</v>
      </c>
    </row>
    <row r="58" spans="1:1">
      <c r="A58" t="str">
        <f>CONCATENATE("{'SheetId':'471cb1af-a389-4255-b9dd-016a7d1c6972'",",","'UId':'3fff2dcd-7ca7-426f-bf5d-8241d3c67385'",",'Col':",COLUMN(BCThuNhap_06203!E14),",'Row':",ROW(BCThuNhap_06203!E14),",","'Format':'numberic'",",'Value':'",SUBSTITUTE(BCThuNhap_06203!E14,"'","\'"),"','TargetCode':''}")</f>
        <v>{'SheetId':'471cb1af-a389-4255-b9dd-016a7d1c6972','UId':'3fff2dcd-7ca7-426f-bf5d-8241d3c67385','Col':5,'Row':14,'Format':'numberic','Value':'0','TargetCode':''}</v>
      </c>
    </row>
    <row r="59" spans="1:1">
      <c r="A59" t="str">
        <f>CONCATENATE("{'SheetId':'471cb1af-a389-4255-b9dd-016a7d1c6972'",",","'UId':'a8c32566-0ae4-4121-957e-997f3d3033fe'",",'Col':",COLUMN(BCThuNhap_06203!F14),",'Row':",ROW(BCThuNhap_06203!F14),",","'Format':'numberic'",",'Value':'",SUBSTITUTE(BCThuNhap_06203!F14,"'","\'"),"','TargetCode':''}")</f>
        <v>{'SheetId':'471cb1af-a389-4255-b9dd-016a7d1c6972','UId':'a8c32566-0ae4-4121-957e-997f3d3033fe','Col':6,'Row':14,'Format':'numberic','Value':'0','TargetCode':''}</v>
      </c>
    </row>
    <row r="60" spans="1:1">
      <c r="A60" t="str">
        <f>CONCATENATE("{'SheetId':'471cb1af-a389-4255-b9dd-016a7d1c6972'",",","'UId':'6ddb7db2-d8b1-4154-a7d4-223c759dfe9a'",",'Col':",COLUMN(BCThuNhap_06203!G14),",'Row':",ROW(BCThuNhap_06203!G14),",","'Format':'numberic'",",'Value':'",SUBSTITUTE(BCThuNhap_06203!G14,"'","\'"),"','TargetCode':''}")</f>
        <v>{'SheetId':'471cb1af-a389-4255-b9dd-016a7d1c6972','UId':'6ddb7db2-d8b1-4154-a7d4-223c759dfe9a','Col':7,'Row':14,'Format':'numberic','Value':'0','TargetCode':''}</v>
      </c>
    </row>
    <row r="61" spans="1:1">
      <c r="A61" t="str">
        <f>CONCATENATE("{'SheetId':'471cb1af-a389-4255-b9dd-016a7d1c6972'",",","'UId':'e1df85d0-a8f4-4765-b3fa-3c51dffc60ad'",",'Col':",COLUMN(BCThuNhap_06203!C15),",'Row':",ROW(BCThuNhap_06203!C15),",","'Format':'string'",",'Value':'",SUBSTITUTE(BCThuNhap_06203!C15,"'","\'"),"','TargetCode':''}")</f>
        <v>{'SheetId':'471cb1af-a389-4255-b9dd-016a7d1c6972','UId':'e1df85d0-a8f4-4765-b3fa-3c51dffc60ad','Col':3,'Row':15,'Format':'string','Value':'','TargetCode':''}</v>
      </c>
    </row>
    <row r="62" spans="1:1">
      <c r="A62" t="str">
        <f>CONCATENATE("{'SheetId':'471cb1af-a389-4255-b9dd-016a7d1c6972'",",","'UId':'e340976c-39b0-44b5-b2e1-1d342060ce8e'",",'Col':",COLUMN(BCThuNhap_06203!D15),",'Row':",ROW(BCThuNhap_06203!D15),",","'Format':'numberic'",",'Value':'",SUBSTITUTE(BCThuNhap_06203!D15,"'","\'"),"','TargetCode':''}")</f>
        <v>{'SheetId':'471cb1af-a389-4255-b9dd-016a7d1c6972','UId':'e340976c-39b0-44b5-b2e1-1d342060ce8e','Col':4,'Row':15,'Format':'numberic','Value':'0','TargetCode':''}</v>
      </c>
    </row>
    <row r="63" spans="1:1">
      <c r="A63" t="str">
        <f>CONCATENATE("{'SheetId':'471cb1af-a389-4255-b9dd-016a7d1c6972'",",","'UId':'87a20680-65fd-4b87-a2a8-7cba5894aba0'",",'Col':",COLUMN(BCThuNhap_06203!E15),",'Row':",ROW(BCThuNhap_06203!E15),",","'Format':'numberic'",",'Value':'",SUBSTITUTE(BCThuNhap_06203!E15,"'","\'"),"','TargetCode':''}")</f>
        <v>{'SheetId':'471cb1af-a389-4255-b9dd-016a7d1c6972','UId':'87a20680-65fd-4b87-a2a8-7cba5894aba0','Col':5,'Row':15,'Format':'numberic','Value':'0','TargetCode':''}</v>
      </c>
    </row>
    <row r="64" spans="1:1">
      <c r="A64" t="str">
        <f>CONCATENATE("{'SheetId':'471cb1af-a389-4255-b9dd-016a7d1c6972'",",","'UId':'722f9e54-40ff-4094-9bf3-2d0e2a4c6c85'",",'Col':",COLUMN(BCThuNhap_06203!F15),",'Row':",ROW(BCThuNhap_06203!F15),",","'Format':'numberic'",",'Value':'",SUBSTITUTE(BCThuNhap_06203!F15,"'","\'"),"','TargetCode':''}")</f>
        <v>{'SheetId':'471cb1af-a389-4255-b9dd-016a7d1c6972','UId':'722f9e54-40ff-4094-9bf3-2d0e2a4c6c85','Col':6,'Row':15,'Format':'numberic','Value':'0','TargetCode':''}</v>
      </c>
    </row>
    <row r="65" spans="1:1">
      <c r="A65" t="str">
        <f>CONCATENATE("{'SheetId':'471cb1af-a389-4255-b9dd-016a7d1c6972'",",","'UId':'1147c254-cbd2-4607-a9b9-997782f144d3'",",'Col':",COLUMN(BCThuNhap_06203!G15),",'Row':",ROW(BCThuNhap_06203!G15),",","'Format':'numberic'",",'Value':'",SUBSTITUTE(BCThuNhap_06203!G15,"'","\'"),"','TargetCode':''}")</f>
        <v>{'SheetId':'471cb1af-a389-4255-b9dd-016a7d1c6972','UId':'1147c254-cbd2-4607-a9b9-997782f144d3','Col':7,'Row':15,'Format':'numberic','Value':'0','TargetCode':''}</v>
      </c>
    </row>
    <row r="66" spans="1:1">
      <c r="A66" t="str">
        <f>CONCATENATE("{'SheetId':'471cb1af-a389-4255-b9dd-016a7d1c6972'",",","'UId':'5308a10e-097c-400c-9805-b2c09f08ebe4'",",'Col':",COLUMN(BCThuNhap_06203!C16),",'Row':",ROW(BCThuNhap_06203!C16),",","'Format':'string'",",'Value':'",SUBSTITUTE(BCThuNhap_06203!C16,"'","\'"),"','TargetCode':''}")</f>
        <v>{'SheetId':'471cb1af-a389-4255-b9dd-016a7d1c6972','UId':'5308a10e-097c-400c-9805-b2c09f08ebe4','Col':3,'Row':16,'Format':'string','Value':'','TargetCode':''}</v>
      </c>
    </row>
    <row r="67" spans="1:1">
      <c r="A67" t="str">
        <f>CONCATENATE("{'SheetId':'471cb1af-a389-4255-b9dd-016a7d1c6972'",",","'UId':'33fc81e1-29a2-48f4-8104-951fe6d8c9e4'",",'Col':",COLUMN(BCThuNhap_06203!D16),",'Row':",ROW(BCThuNhap_06203!D16),",","'Format':'numberic'",",'Value':'",SUBSTITUTE(BCThuNhap_06203!D16,"'","\'"),"','TargetCode':''}")</f>
        <v>{'SheetId':'471cb1af-a389-4255-b9dd-016a7d1c6972','UId':'33fc81e1-29a2-48f4-8104-951fe6d8c9e4','Col':4,'Row':16,'Format':'numberic','Value':'494471606','TargetCode':''}</v>
      </c>
    </row>
    <row r="68" spans="1:1">
      <c r="A68" t="str">
        <f>CONCATENATE("{'SheetId':'471cb1af-a389-4255-b9dd-016a7d1c6972'",",","'UId':'6a3646ff-ea6d-4780-9293-b466ac41e07f'",",'Col':",COLUMN(BCThuNhap_06203!E16),",'Row':",ROW(BCThuNhap_06203!E16),",","'Format':'numberic'",",'Value':'",SUBSTITUTE(BCThuNhap_06203!E16,"'","\'"),"','TargetCode':''}")</f>
        <v>{'SheetId':'471cb1af-a389-4255-b9dd-016a7d1c6972','UId':'6a3646ff-ea6d-4780-9293-b466ac41e07f','Col':5,'Row':16,'Format':'numberic','Value':'494471606','TargetCode':''}</v>
      </c>
    </row>
    <row r="69" spans="1:1">
      <c r="A69" t="str">
        <f>CONCATENATE("{'SheetId':'471cb1af-a389-4255-b9dd-016a7d1c6972'",",","'UId':'123c6f04-469e-4a32-9ab6-2c63e3d0e857'",",'Col':",COLUMN(BCThuNhap_06203!F16),",'Row':",ROW(BCThuNhap_06203!F16),",","'Format':'numberic'",",'Value':'",SUBSTITUTE(BCThuNhap_06203!F16,"'","\'"),"','TargetCode':''}")</f>
        <v>{'SheetId':'471cb1af-a389-4255-b9dd-016a7d1c6972','UId':'123c6f04-469e-4a32-9ab6-2c63e3d0e857','Col':6,'Row':16,'Format':'numberic','Value':'74015192','TargetCode':''}</v>
      </c>
    </row>
    <row r="70" spans="1:1">
      <c r="A70" t="str">
        <f>CONCATENATE("{'SheetId':'471cb1af-a389-4255-b9dd-016a7d1c6972'",",","'UId':'95d02b54-13d5-4c12-b332-f8e7f5373348'",",'Col':",COLUMN(BCThuNhap_06203!G16),",'Row':",ROW(BCThuNhap_06203!G16),",","'Format':'numberic'",",'Value':'",SUBSTITUTE(BCThuNhap_06203!G16,"'","\'"),"','TargetCode':''}")</f>
        <v>{'SheetId':'471cb1af-a389-4255-b9dd-016a7d1c6972','UId':'95d02b54-13d5-4c12-b332-f8e7f5373348','Col':7,'Row':16,'Format':'numberic','Value':'74015192','TargetCode':''}</v>
      </c>
    </row>
    <row r="71" spans="1:1">
      <c r="A71" t="str">
        <f>CONCATENATE("{'SheetId':'471cb1af-a389-4255-b9dd-016a7d1c6972'",",","'UId':'fad63c53-d430-49bf-bbc6-5ecc292a9fa5'",",'Col':",COLUMN(BCThuNhap_06203!C17),",'Row':",ROW(BCThuNhap_06203!C17),",","'Format':'string'",",'Value':'",SUBSTITUTE(BCThuNhap_06203!C17,"'","\'"),"','TargetCode':''}")</f>
        <v>{'SheetId':'471cb1af-a389-4255-b9dd-016a7d1c6972','UId':'fad63c53-d430-49bf-bbc6-5ecc292a9fa5','Col':3,'Row':17,'Format':'string','Value':'','TargetCode':''}</v>
      </c>
    </row>
    <row r="72" spans="1:1">
      <c r="A72" t="str">
        <f>CONCATENATE("{'SheetId':'471cb1af-a389-4255-b9dd-016a7d1c6972'",",","'UId':'21fcc0e8-7ebc-467d-83f1-ec0ee271b390'",",'Col':",COLUMN(BCThuNhap_06203!D17),",'Row':",ROW(BCThuNhap_06203!D17),",","'Format':'numberic'",",'Value':'",SUBSTITUTE(BCThuNhap_06203!D17,"'","\'"),"','TargetCode':''}")</f>
        <v>{'SheetId':'471cb1af-a389-4255-b9dd-016a7d1c6972','UId':'21fcc0e8-7ebc-467d-83f1-ec0ee271b390','Col':4,'Row':17,'Format':'numberic','Value':'494471606','TargetCode':''}</v>
      </c>
    </row>
    <row r="73" spans="1:1">
      <c r="A73" t="str">
        <f>CONCATENATE("{'SheetId':'471cb1af-a389-4255-b9dd-016a7d1c6972'",",","'UId':'69b6539b-dd01-4291-b5cd-85ace7b70fa4'",",'Col':",COLUMN(BCThuNhap_06203!E17),",'Row':",ROW(BCThuNhap_06203!E17),",","'Format':'numberic'",",'Value':'",SUBSTITUTE(BCThuNhap_06203!E17,"'","\'"),"','TargetCode':''}")</f>
        <v>{'SheetId':'471cb1af-a389-4255-b9dd-016a7d1c6972','UId':'69b6539b-dd01-4291-b5cd-85ace7b70fa4','Col':5,'Row':17,'Format':'numberic','Value':'494471606','TargetCode':''}</v>
      </c>
    </row>
    <row r="74" spans="1:1">
      <c r="A74" t="str">
        <f>CONCATENATE("{'SheetId':'471cb1af-a389-4255-b9dd-016a7d1c6972'",",","'UId':'b3a869fc-c1a8-44ac-8208-be0cf0189e9b'",",'Col':",COLUMN(BCThuNhap_06203!F17),",'Row':",ROW(BCThuNhap_06203!F17),",","'Format':'numberic'",",'Value':'",SUBSTITUTE(BCThuNhap_06203!F17,"'","\'"),"','TargetCode':''}")</f>
        <v>{'SheetId':'471cb1af-a389-4255-b9dd-016a7d1c6972','UId':'b3a869fc-c1a8-44ac-8208-be0cf0189e9b','Col':6,'Row':17,'Format':'numberic','Value':'74015192','TargetCode':''}</v>
      </c>
    </row>
    <row r="75" spans="1:1">
      <c r="A75" t="str">
        <f>CONCATENATE("{'SheetId':'471cb1af-a389-4255-b9dd-016a7d1c6972'",",","'UId':'87683ba9-de3a-4978-987b-2a2689e232d4'",",'Col':",COLUMN(BCThuNhap_06203!G17),",'Row':",ROW(BCThuNhap_06203!G17),",","'Format':'numberic'",",'Value':'",SUBSTITUTE(BCThuNhap_06203!G17,"'","\'"),"','TargetCode':''}")</f>
        <v>{'SheetId':'471cb1af-a389-4255-b9dd-016a7d1c6972','UId':'87683ba9-de3a-4978-987b-2a2689e232d4','Col':7,'Row':17,'Format':'numberic','Value':'74015192','TargetCode':''}</v>
      </c>
    </row>
    <row r="76" spans="1:1">
      <c r="A76" t="str">
        <f>CONCATENATE("{'SheetId':'471cb1af-a389-4255-b9dd-016a7d1c6972'",",","'UId':'16be286b-7452-4bbc-accb-8f7a250aca3b'",",'Col':",COLUMN(BCThuNhap_06203!C18),",'Row':",ROW(BCThuNhap_06203!C18),",","'Format':'string'",",'Value':'",SUBSTITUTE(BCThuNhap_06203!C18,"'","\'"),"','TargetCode':''}")</f>
        <v>{'SheetId':'471cb1af-a389-4255-b9dd-016a7d1c6972','UId':'16be286b-7452-4bbc-accb-8f7a250aca3b','Col':3,'Row':18,'Format':'string','Value':'','TargetCode':''}</v>
      </c>
    </row>
    <row r="77" spans="1:1">
      <c r="A77" t="str">
        <f>CONCATENATE("{'SheetId':'471cb1af-a389-4255-b9dd-016a7d1c6972'",",","'UId':'817b0dd8-15bf-4d06-bcd1-87aa61748e5c'",",'Col':",COLUMN(BCThuNhap_06203!D18),",'Row':",ROW(BCThuNhap_06203!D18),",","'Format':'numberic'",",'Value':'",SUBSTITUTE(BCThuNhap_06203!D18,"'","\'"),"','TargetCode':''}")</f>
        <v>{'SheetId':'471cb1af-a389-4255-b9dd-016a7d1c6972','UId':'817b0dd8-15bf-4d06-bcd1-87aa61748e5c','Col':4,'Row':18,'Format':'numberic','Value':'494196669','TargetCode':''}</v>
      </c>
    </row>
    <row r="78" spans="1:1">
      <c r="A78" t="str">
        <f>CONCATENATE("{'SheetId':'471cb1af-a389-4255-b9dd-016a7d1c6972'",",","'UId':'b78eb722-20fb-44d3-977d-abfba48c1335'",",'Col':",COLUMN(BCThuNhap_06203!E18),",'Row':",ROW(BCThuNhap_06203!E18),",","'Format':'numberic'",",'Value':'",SUBSTITUTE(BCThuNhap_06203!E18,"'","\'"),"','TargetCode':''}")</f>
        <v>{'SheetId':'471cb1af-a389-4255-b9dd-016a7d1c6972','UId':'b78eb722-20fb-44d3-977d-abfba48c1335','Col':5,'Row':18,'Format':'numberic','Value':'494196669','TargetCode':''}</v>
      </c>
    </row>
    <row r="79" spans="1:1">
      <c r="A79" t="str">
        <f>CONCATENATE("{'SheetId':'471cb1af-a389-4255-b9dd-016a7d1c6972'",",","'UId':'06d29b45-62f0-4fac-a8ac-c83dc9f8193b'",",'Col':",COLUMN(BCThuNhap_06203!F18),",'Row':",ROW(BCThuNhap_06203!F18),",","'Format':'numberic'",",'Value':'",SUBSTITUTE(BCThuNhap_06203!F18,"'","\'"),"','TargetCode':''}")</f>
        <v>{'SheetId':'471cb1af-a389-4255-b9dd-016a7d1c6972','UId':'06d29b45-62f0-4fac-a8ac-c83dc9f8193b','Col':6,'Row':18,'Format':'numberic','Value':'73576851','TargetCode':''}</v>
      </c>
    </row>
    <row r="80" spans="1:1">
      <c r="A80" t="str">
        <f>CONCATENATE("{'SheetId':'471cb1af-a389-4255-b9dd-016a7d1c6972'",",","'UId':'d8894aad-e9a9-432e-be0e-37fd6c5287e1'",",'Col':",COLUMN(BCThuNhap_06203!G18),",'Row':",ROW(BCThuNhap_06203!G18),",","'Format':'numberic'",",'Value':'",SUBSTITUTE(BCThuNhap_06203!G18,"'","\'"),"','TargetCode':''}")</f>
        <v>{'SheetId':'471cb1af-a389-4255-b9dd-016a7d1c6972','UId':'d8894aad-e9a9-432e-be0e-37fd6c5287e1','Col':7,'Row':18,'Format':'numberic','Value':'73576851','TargetCode':''}</v>
      </c>
    </row>
    <row r="81" spans="1:1">
      <c r="A81" t="str">
        <f>CONCATENATE("{'SheetId':'471cb1af-a389-4255-b9dd-016a7d1c6972'",",","'UId':'78c13bf4-4694-4ad4-b15f-36b9e3705bf4'",",'Col':",COLUMN(BCThuNhap_06203!C19),",'Row':",ROW(BCThuNhap_06203!C19),",","'Format':'string'",",'Value':'",SUBSTITUTE(BCThuNhap_06203!C19,"'","\'"),"','TargetCode':''}")</f>
        <v>{'SheetId':'471cb1af-a389-4255-b9dd-016a7d1c6972','UId':'78c13bf4-4694-4ad4-b15f-36b9e3705bf4','Col':3,'Row':19,'Format':'string','Value':'','TargetCode':''}</v>
      </c>
    </row>
    <row r="82" spans="1:1">
      <c r="A82" t="str">
        <f>CONCATENATE("{'SheetId':'471cb1af-a389-4255-b9dd-016a7d1c6972'",",","'UId':'41043d31-5c1a-41c2-bcaf-d2eb092cee56'",",'Col':",COLUMN(BCThuNhap_06203!D19),",'Row':",ROW(BCThuNhap_06203!D19),",","'Format':'numberic'",",'Value':'",SUBSTITUTE(BCThuNhap_06203!D19,"'","\'"),"','TargetCode':''}")</f>
        <v>{'SheetId':'471cb1af-a389-4255-b9dd-016a7d1c6972','UId':'41043d31-5c1a-41c2-bcaf-d2eb092cee56','Col':4,'Row':19,'Format':'numberic','Value':'274937','TargetCode':''}</v>
      </c>
    </row>
    <row r="83" spans="1:1">
      <c r="A83" t="str">
        <f>CONCATENATE("{'SheetId':'471cb1af-a389-4255-b9dd-016a7d1c6972'",",","'UId':'f03723f5-9ce8-4410-a9a4-7f51f73f16e0'",",'Col':",COLUMN(BCThuNhap_06203!E19),",'Row':",ROW(BCThuNhap_06203!E19),",","'Format':'numberic'",",'Value':'",SUBSTITUTE(BCThuNhap_06203!E19,"'","\'"),"','TargetCode':''}")</f>
        <v>{'SheetId':'471cb1af-a389-4255-b9dd-016a7d1c6972','UId':'f03723f5-9ce8-4410-a9a4-7f51f73f16e0','Col':5,'Row':19,'Format':'numberic','Value':'274937','TargetCode':''}</v>
      </c>
    </row>
    <row r="84" spans="1:1">
      <c r="A84" t="str">
        <f>CONCATENATE("{'SheetId':'471cb1af-a389-4255-b9dd-016a7d1c6972'",",","'UId':'73c25757-cfd7-4623-9e9a-9fd36291a116'",",'Col':",COLUMN(BCThuNhap_06203!F19),",'Row':",ROW(BCThuNhap_06203!F19),",","'Format':'numberic'",",'Value':'",SUBSTITUTE(BCThuNhap_06203!F19,"'","\'"),"','TargetCode':''}")</f>
        <v>{'SheetId':'471cb1af-a389-4255-b9dd-016a7d1c6972','UId':'73c25757-cfd7-4623-9e9a-9fd36291a116','Col':6,'Row':19,'Format':'numberic','Value':'438341','TargetCode':''}</v>
      </c>
    </row>
    <row r="85" spans="1:1">
      <c r="A85" t="str">
        <f>CONCATENATE("{'SheetId':'471cb1af-a389-4255-b9dd-016a7d1c6972'",",","'UId':'c28a0468-96ae-4c7e-9d04-1464be70495e'",",'Col':",COLUMN(BCThuNhap_06203!G19),",'Row':",ROW(BCThuNhap_06203!G19),",","'Format':'numberic'",",'Value':'",SUBSTITUTE(BCThuNhap_06203!G19,"'","\'"),"','TargetCode':''}")</f>
        <v>{'SheetId':'471cb1af-a389-4255-b9dd-016a7d1c6972','UId':'c28a0468-96ae-4c7e-9d04-1464be70495e','Col':7,'Row':19,'Format':'numberic','Value':'438341','TargetCode':''}</v>
      </c>
    </row>
    <row r="86" spans="1:1">
      <c r="A86" t="str">
        <f>CONCATENATE("{'SheetId':'471cb1af-a389-4255-b9dd-016a7d1c6972'",",","'UId':'c7c3b084-b85e-4c49-952d-6f52bb1f8155'",",'Col':",COLUMN(BCThuNhap_06203!C20),",'Row':",ROW(BCThuNhap_06203!C20),",","'Format':'string'",",'Value':'",SUBSTITUTE(BCThuNhap_06203!C20,"'","\'"),"','TargetCode':''}")</f>
        <v>{'SheetId':'471cb1af-a389-4255-b9dd-016a7d1c6972','UId':'c7c3b084-b85e-4c49-952d-6f52bb1f8155','Col':3,'Row':20,'Format':'string','Value':'','TargetCode':''}</v>
      </c>
    </row>
    <row r="87" spans="1:1">
      <c r="A87" t="str">
        <f>CONCATENATE("{'SheetId':'471cb1af-a389-4255-b9dd-016a7d1c6972'",",","'UId':'dd4d87eb-dd07-4d22-89cd-a2b0b25214c2'",",'Col':",COLUMN(BCThuNhap_06203!D20),",'Row':",ROW(BCThuNhap_06203!D20),",","'Format':'numberic'",",'Value':'",SUBSTITUTE(BCThuNhap_06203!D20,"'","\'"),"','TargetCode':''}")</f>
        <v>{'SheetId':'471cb1af-a389-4255-b9dd-016a7d1c6972','UId':'dd4d87eb-dd07-4d22-89cd-a2b0b25214c2','Col':4,'Row':20,'Format':'numberic','Value':'0','TargetCode':''}</v>
      </c>
    </row>
    <row r="88" spans="1:1">
      <c r="A88" t="str">
        <f>CONCATENATE("{'SheetId':'471cb1af-a389-4255-b9dd-016a7d1c6972'",",","'UId':'44091cd7-3541-4756-844c-32bb3e3ddb3f'",",'Col':",COLUMN(BCThuNhap_06203!E20),",'Row':",ROW(BCThuNhap_06203!E20),",","'Format':'numberic'",",'Value':'",SUBSTITUTE(BCThuNhap_06203!E20,"'","\'"),"','TargetCode':''}")</f>
        <v>{'SheetId':'471cb1af-a389-4255-b9dd-016a7d1c6972','UId':'44091cd7-3541-4756-844c-32bb3e3ddb3f','Col':5,'Row':20,'Format':'numberic','Value':'0','TargetCode':''}</v>
      </c>
    </row>
    <row r="89" spans="1:1">
      <c r="A89" t="str">
        <f>CONCATENATE("{'SheetId':'471cb1af-a389-4255-b9dd-016a7d1c6972'",",","'UId':'b618b76f-e180-4df6-a444-ed8966d651d4'",",'Col':",COLUMN(BCThuNhap_06203!F20),",'Row':",ROW(BCThuNhap_06203!F20),",","'Format':'numberic'",",'Value':'",SUBSTITUTE(BCThuNhap_06203!F20,"'","\'"),"','TargetCode':''}")</f>
        <v>{'SheetId':'471cb1af-a389-4255-b9dd-016a7d1c6972','UId':'b618b76f-e180-4df6-a444-ed8966d651d4','Col':6,'Row':20,'Format':'numberic','Value':'0','TargetCode':''}</v>
      </c>
    </row>
    <row r="90" spans="1:1">
      <c r="A90" t="str">
        <f>CONCATENATE("{'SheetId':'471cb1af-a389-4255-b9dd-016a7d1c6972'",",","'UId':'721d3a40-befb-4d16-824f-6313762c6d5f'",",'Col':",COLUMN(BCThuNhap_06203!G20),",'Row':",ROW(BCThuNhap_06203!G20),",","'Format':'numberic'",",'Value':'",SUBSTITUTE(BCThuNhap_06203!G20,"'","\'"),"','TargetCode':''}")</f>
        <v>{'SheetId':'471cb1af-a389-4255-b9dd-016a7d1c6972','UId':'721d3a40-befb-4d16-824f-6313762c6d5f','Col':7,'Row':20,'Format':'numberic','Value':'0','TargetCode':''}</v>
      </c>
    </row>
    <row r="91" spans="1:1">
      <c r="A91" t="str">
        <f>CONCATENATE("{'SheetId':'471cb1af-a389-4255-b9dd-016a7d1c6972'",",","'UId':'e312fc66-6853-435b-b2e8-233f74ec800c'",",'Col':",COLUMN(BCThuNhap_06203!C21),",'Row':",ROW(BCThuNhap_06203!C21),",","'Format':'string'",",'Value':'",SUBSTITUTE(BCThuNhap_06203!C21,"'","\'"),"','TargetCode':''}")</f>
        <v>{'SheetId':'471cb1af-a389-4255-b9dd-016a7d1c6972','UId':'e312fc66-6853-435b-b2e8-233f74ec800c','Col':3,'Row':21,'Format':'string','Value':'','TargetCode':''}</v>
      </c>
    </row>
    <row r="92" spans="1:1">
      <c r="A92" t="str">
        <f>CONCATENATE("{'SheetId':'471cb1af-a389-4255-b9dd-016a7d1c6972'",",","'UId':'21f97c9e-b667-4c06-8323-6cb04c978f27'",",'Col':",COLUMN(BCThuNhap_06203!D21),",'Row':",ROW(BCThuNhap_06203!D21),",","'Format':'numberic'",",'Value':'",SUBSTITUTE(BCThuNhap_06203!D21,"'","\'"),"','TargetCode':''}")</f>
        <v>{'SheetId':'471cb1af-a389-4255-b9dd-016a7d1c6972','UId':'21f97c9e-b667-4c06-8323-6cb04c978f27','Col':4,'Row':21,'Format':'numberic','Value':'0','TargetCode':''}</v>
      </c>
    </row>
    <row r="93" spans="1:1">
      <c r="A93" t="str">
        <f>CONCATENATE("{'SheetId':'471cb1af-a389-4255-b9dd-016a7d1c6972'",",","'UId':'1e31b9d2-da2a-4cb6-ace9-c0ccd8f9208a'",",'Col':",COLUMN(BCThuNhap_06203!E21),",'Row':",ROW(BCThuNhap_06203!E21),",","'Format':'numberic'",",'Value':'",SUBSTITUTE(BCThuNhap_06203!E21,"'","\'"),"','TargetCode':''}")</f>
        <v>{'SheetId':'471cb1af-a389-4255-b9dd-016a7d1c6972','UId':'1e31b9d2-da2a-4cb6-ace9-c0ccd8f9208a','Col':5,'Row':21,'Format':'numberic','Value':'0','TargetCode':''}</v>
      </c>
    </row>
    <row r="94" spans="1:1">
      <c r="A94" t="str">
        <f>CONCATENATE("{'SheetId':'471cb1af-a389-4255-b9dd-016a7d1c6972'",",","'UId':'8ed5adf0-e670-4409-97a0-82807f77595a'",",'Col':",COLUMN(BCThuNhap_06203!F21),",'Row':",ROW(BCThuNhap_06203!F21),",","'Format':'numberic'",",'Value':'",SUBSTITUTE(BCThuNhap_06203!F21,"'","\'"),"','TargetCode':''}")</f>
        <v>{'SheetId':'471cb1af-a389-4255-b9dd-016a7d1c6972','UId':'8ed5adf0-e670-4409-97a0-82807f77595a','Col':6,'Row':21,'Format':'numberic','Value':'0','TargetCode':''}</v>
      </c>
    </row>
    <row r="95" spans="1:1">
      <c r="A95" t="str">
        <f>CONCATENATE("{'SheetId':'471cb1af-a389-4255-b9dd-016a7d1c6972'",",","'UId':'b3497f19-ad9c-46a2-af86-093973674515'",",'Col':",COLUMN(BCThuNhap_06203!G21),",'Row':",ROW(BCThuNhap_06203!G21),",","'Format':'numberic'",",'Value':'",SUBSTITUTE(BCThuNhap_06203!G21,"'","\'"),"','TargetCode':''}")</f>
        <v>{'SheetId':'471cb1af-a389-4255-b9dd-016a7d1c6972','UId':'b3497f19-ad9c-46a2-af86-093973674515','Col':7,'Row':21,'Format':'numberic','Value':'0','TargetCode':''}</v>
      </c>
    </row>
    <row r="96" spans="1:1">
      <c r="A96" t="str">
        <f>CONCATENATE("{'SheetId':'471cb1af-a389-4255-b9dd-016a7d1c6972'",",","'UId':'ef29556b-66c1-43df-a73d-e7c5d26910da'",",'Col':",COLUMN(BCThuNhap_06203!C22),",'Row':",ROW(BCThuNhap_06203!C22),",","'Format':'string'",",'Value':'",SUBSTITUTE(BCThuNhap_06203!C22,"'","\'"),"','TargetCode':''}")</f>
        <v>{'SheetId':'471cb1af-a389-4255-b9dd-016a7d1c6972','UId':'ef29556b-66c1-43df-a73d-e7c5d26910da','Col':3,'Row':22,'Format':'string','Value':'','TargetCode':''}</v>
      </c>
    </row>
    <row r="97" spans="1:1">
      <c r="A97" t="str">
        <f>CONCATENATE("{'SheetId':'471cb1af-a389-4255-b9dd-016a7d1c6972'",",","'UId':'f0b71d81-e2dc-48c4-99a7-4cd9889b41b6'",",'Col':",COLUMN(BCThuNhap_06203!D22),",'Row':",ROW(BCThuNhap_06203!D22),",","'Format':'numberic'",",'Value':'",SUBSTITUTE(BCThuNhap_06203!D22,"'","\'"),"','TargetCode':''}")</f>
        <v>{'SheetId':'471cb1af-a389-4255-b9dd-016a7d1c6972','UId':'f0b71d81-e2dc-48c4-99a7-4cd9889b41b6','Col':4,'Row':22,'Format':'numberic','Value':'0','TargetCode':''}</v>
      </c>
    </row>
    <row r="98" spans="1:1">
      <c r="A98" t="str">
        <f>CONCATENATE("{'SheetId':'471cb1af-a389-4255-b9dd-016a7d1c6972'",",","'UId':'ea31d0f8-058a-430a-a577-82c576c92c8e'",",'Col':",COLUMN(BCThuNhap_06203!E22),",'Row':",ROW(BCThuNhap_06203!E22),",","'Format':'numberic'",",'Value':'",SUBSTITUTE(BCThuNhap_06203!E22,"'","\'"),"','TargetCode':''}")</f>
        <v>{'SheetId':'471cb1af-a389-4255-b9dd-016a7d1c6972','UId':'ea31d0f8-058a-430a-a577-82c576c92c8e','Col':5,'Row':22,'Format':'numberic','Value':'0','TargetCode':''}</v>
      </c>
    </row>
    <row r="99" spans="1:1">
      <c r="A99" t="str">
        <f>CONCATENATE("{'SheetId':'471cb1af-a389-4255-b9dd-016a7d1c6972'",",","'UId':'e64eff06-db8e-44b0-b739-6ff86c9f1797'",",'Col':",COLUMN(BCThuNhap_06203!F22),",'Row':",ROW(BCThuNhap_06203!F22),",","'Format':'numberic'",",'Value':'",SUBSTITUTE(BCThuNhap_06203!F22,"'","\'"),"','TargetCode':''}")</f>
        <v>{'SheetId':'471cb1af-a389-4255-b9dd-016a7d1c6972','UId':'e64eff06-db8e-44b0-b739-6ff86c9f1797','Col':6,'Row':22,'Format':'numberic','Value':'0','TargetCode':''}</v>
      </c>
    </row>
    <row r="100" spans="1:1">
      <c r="A100" t="str">
        <f>CONCATENATE("{'SheetId':'471cb1af-a389-4255-b9dd-016a7d1c6972'",",","'UId':'b75a4f3b-56be-4863-a2dd-eaf86c14b699'",",'Col':",COLUMN(BCThuNhap_06203!G22),",'Row':",ROW(BCThuNhap_06203!G22),",","'Format':'numberic'",",'Value':'",SUBSTITUTE(BCThuNhap_06203!G22,"'","\'"),"','TargetCode':''}")</f>
        <v>{'SheetId':'471cb1af-a389-4255-b9dd-016a7d1c6972','UId':'b75a4f3b-56be-4863-a2dd-eaf86c14b699','Col':7,'Row':22,'Format':'numberic','Value':'0','TargetCode':''}</v>
      </c>
    </row>
    <row r="101" spans="1:1">
      <c r="A101" t="str">
        <f>CONCATENATE("{'SheetId':'471cb1af-a389-4255-b9dd-016a7d1c6972'",",","'UId':'3468575f-d8b7-4be2-b237-7331abfb8219'",",'Col':",COLUMN(BCThuNhap_06203!C23),",'Row':",ROW(BCThuNhap_06203!C23),",","'Format':'string'",",'Value':'",SUBSTITUTE(BCThuNhap_06203!C23,"'","\'"),"','TargetCode':''}")</f>
        <v>{'SheetId':'471cb1af-a389-4255-b9dd-016a7d1c6972','UId':'3468575f-d8b7-4be2-b237-7331abfb8219','Col':3,'Row':23,'Format':'string','Value':'','TargetCode':''}</v>
      </c>
    </row>
    <row r="102" spans="1:1">
      <c r="A102" t="str">
        <f>CONCATENATE("{'SheetId':'471cb1af-a389-4255-b9dd-016a7d1c6972'",",","'UId':'9efffba9-27e1-4782-a5c6-11cf82d86ff4'",",'Col':",COLUMN(BCThuNhap_06203!D23),",'Row':",ROW(BCThuNhap_06203!D23),",","'Format':'numberic'",",'Value':'",SUBSTITUTE(BCThuNhap_06203!D23,"'","\'"),"','TargetCode':''}")</f>
        <v>{'SheetId':'471cb1af-a389-4255-b9dd-016a7d1c6972','UId':'9efffba9-27e1-4782-a5c6-11cf82d86ff4','Col':4,'Row':23,'Format':'numberic','Value':'0','TargetCode':''}</v>
      </c>
    </row>
    <row r="103" spans="1:1">
      <c r="A103" t="str">
        <f>CONCATENATE("{'SheetId':'471cb1af-a389-4255-b9dd-016a7d1c6972'",",","'UId':'b6e1545b-95a3-4418-b01c-8812832ac1b0'",",'Col':",COLUMN(BCThuNhap_06203!E23),",'Row':",ROW(BCThuNhap_06203!E23),",","'Format':'numberic'",",'Value':'",SUBSTITUTE(BCThuNhap_06203!E23,"'","\'"),"','TargetCode':''}")</f>
        <v>{'SheetId':'471cb1af-a389-4255-b9dd-016a7d1c6972','UId':'b6e1545b-95a3-4418-b01c-8812832ac1b0','Col':5,'Row':23,'Format':'numberic','Value':'0','TargetCode':''}</v>
      </c>
    </row>
    <row r="104" spans="1:1">
      <c r="A104" t="str">
        <f>CONCATENATE("{'SheetId':'471cb1af-a389-4255-b9dd-016a7d1c6972'",",","'UId':'ff49f849-d467-479b-b1c0-452fff10ef74'",",'Col':",COLUMN(BCThuNhap_06203!F23),",'Row':",ROW(BCThuNhap_06203!F23),",","'Format':'numberic'",",'Value':'",SUBSTITUTE(BCThuNhap_06203!F23,"'","\'"),"','TargetCode':''}")</f>
        <v>{'SheetId':'471cb1af-a389-4255-b9dd-016a7d1c6972','UId':'ff49f849-d467-479b-b1c0-452fff10ef74','Col':6,'Row':23,'Format':'numberic','Value':'0','TargetCode':''}</v>
      </c>
    </row>
    <row r="105" spans="1:1">
      <c r="A105" t="str">
        <f>CONCATENATE("{'SheetId':'471cb1af-a389-4255-b9dd-016a7d1c6972'",",","'UId':'8aee59fc-5396-49ce-84b0-283ed899d686'",",'Col':",COLUMN(BCThuNhap_06203!G23),",'Row':",ROW(BCThuNhap_06203!G23),",","'Format':'numberic'",",'Value':'",SUBSTITUTE(BCThuNhap_06203!G23,"'","\'"),"','TargetCode':''}")</f>
        <v>{'SheetId':'471cb1af-a389-4255-b9dd-016a7d1c6972','UId':'8aee59fc-5396-49ce-84b0-283ed899d686','Col':7,'Row':23,'Format':'numberic','Value':'0','TargetCode':''}</v>
      </c>
    </row>
    <row r="106" spans="1:1">
      <c r="A106" t="str">
        <f>CONCATENATE("{'SheetId':'471cb1af-a389-4255-b9dd-016a7d1c6972'",",","'UId':'52554d7b-857a-46db-94bb-579ba7c7fa77'",",'Col':",COLUMN(BCThuNhap_06203!C24),",'Row':",ROW(BCThuNhap_06203!C24),",","'Format':'string'",",'Value':'",SUBSTITUTE(BCThuNhap_06203!C24,"'","\'"),"','TargetCode':''}")</f>
        <v>{'SheetId':'471cb1af-a389-4255-b9dd-016a7d1c6972','UId':'52554d7b-857a-46db-94bb-579ba7c7fa77','Col':3,'Row':24,'Format':'string','Value':'','TargetCode':''}</v>
      </c>
    </row>
    <row r="107" spans="1:1">
      <c r="A107" t="str">
        <f>CONCATENATE("{'SheetId':'471cb1af-a389-4255-b9dd-016a7d1c6972'",",","'UId':'dfde7dd7-4465-41e0-8dfc-3d9bd7ef8df4'",",'Col':",COLUMN(BCThuNhap_06203!D24),",'Row':",ROW(BCThuNhap_06203!D24),",","'Format':'numberic'",",'Value':'",SUBSTITUTE(BCThuNhap_06203!D24,"'","\'"),"','TargetCode':''}")</f>
        <v>{'SheetId':'471cb1af-a389-4255-b9dd-016a7d1c6972','UId':'dfde7dd7-4465-41e0-8dfc-3d9bd7ef8df4','Col':4,'Row':24,'Format':'numberic','Value':'1818051399','TargetCode':''}</v>
      </c>
    </row>
    <row r="108" spans="1:1">
      <c r="A108" t="str">
        <f>CONCATENATE("{'SheetId':'471cb1af-a389-4255-b9dd-016a7d1c6972'",",","'UId':'8d607be0-46b7-4f79-b999-a6433feff755'",",'Col':",COLUMN(BCThuNhap_06203!E24),",'Row':",ROW(BCThuNhap_06203!E24),",","'Format':'numberic'",",'Value':'",SUBSTITUTE(BCThuNhap_06203!E24,"'","\'"),"','TargetCode':''}")</f>
        <v>{'SheetId':'471cb1af-a389-4255-b9dd-016a7d1c6972','UId':'8d607be0-46b7-4f79-b999-a6433feff755','Col':5,'Row':24,'Format':'numberic','Value':'1818051399','TargetCode':''}</v>
      </c>
    </row>
    <row r="109" spans="1:1">
      <c r="A109" t="str">
        <f>CONCATENATE("{'SheetId':'471cb1af-a389-4255-b9dd-016a7d1c6972'",",","'UId':'a72625a9-1c20-4c87-bd82-ad9fc7164547'",",'Col':",COLUMN(BCThuNhap_06203!F24),",'Row':",ROW(BCThuNhap_06203!F24),",","'Format':'numberic'",",'Value':'",SUBSTITUTE(BCThuNhap_06203!F24,"'","\'"),"','TargetCode':''}")</f>
        <v>{'SheetId':'471cb1af-a389-4255-b9dd-016a7d1c6972','UId':'a72625a9-1c20-4c87-bd82-ad9fc7164547','Col':6,'Row':24,'Format':'numberic','Value':'1529162109','TargetCode':''}</v>
      </c>
    </row>
    <row r="110" spans="1:1">
      <c r="A110" t="str">
        <f>CONCATENATE("{'SheetId':'471cb1af-a389-4255-b9dd-016a7d1c6972'",",","'UId':'f4af0a50-e561-45bd-88e0-0b4b996e6853'",",'Col':",COLUMN(BCThuNhap_06203!G24),",'Row':",ROW(BCThuNhap_06203!G24),",","'Format':'numberic'",",'Value':'",SUBSTITUTE(BCThuNhap_06203!G24,"'","\'"),"','TargetCode':''}")</f>
        <v>{'SheetId':'471cb1af-a389-4255-b9dd-016a7d1c6972','UId':'f4af0a50-e561-45bd-88e0-0b4b996e6853','Col':7,'Row':24,'Format':'numberic','Value':'1529162109','TargetCode':''}</v>
      </c>
    </row>
    <row r="111" spans="1:1">
      <c r="A111" t="str">
        <f>CONCATENATE("{'SheetId':'471cb1af-a389-4255-b9dd-016a7d1c6972'",",","'UId':'5e0f6abf-3765-4c76-bd32-263529206e4b'",",'Col':",COLUMN(BCThuNhap_06203!C25),",'Row':",ROW(BCThuNhap_06203!C25),",","'Format':'string'",",'Value':'",SUBSTITUTE(BCThuNhap_06203!C25,"'","\'"),"','TargetCode':''}")</f>
        <v>{'SheetId':'471cb1af-a389-4255-b9dd-016a7d1c6972','UId':'5e0f6abf-3765-4c76-bd32-263529206e4b','Col':3,'Row':25,'Format':'string','Value':'','TargetCode':''}</v>
      </c>
    </row>
    <row r="112" spans="1:1">
      <c r="A112" t="str">
        <f>CONCATENATE("{'SheetId':'471cb1af-a389-4255-b9dd-016a7d1c6972'",",","'UId':'0510158a-592c-436d-9700-d8f11e1f02a0'",",'Col':",COLUMN(BCThuNhap_06203!D25),",'Row':",ROW(BCThuNhap_06203!D25),",","'Format':'numberic'",",'Value':'",SUBSTITUTE(BCThuNhap_06203!D25,"'","\'"),"','TargetCode':''}")</f>
        <v>{'SheetId':'471cb1af-a389-4255-b9dd-016a7d1c6972','UId':'0510158a-592c-436d-9700-d8f11e1f02a0','Col':4,'Row':25,'Format':'numberic','Value':'846980599','TargetCode':''}</v>
      </c>
    </row>
    <row r="113" spans="1:1">
      <c r="A113" t="str">
        <f>CONCATENATE("{'SheetId':'471cb1af-a389-4255-b9dd-016a7d1c6972'",",","'UId':'85d77f2b-5e99-4202-b223-e24cd40bbff0'",",'Col':",COLUMN(BCThuNhap_06203!E25),",'Row':",ROW(BCThuNhap_06203!E25),",","'Format':'numberic'",",'Value':'",SUBSTITUTE(BCThuNhap_06203!E25,"'","\'"),"','TargetCode':''}")</f>
        <v>{'SheetId':'471cb1af-a389-4255-b9dd-016a7d1c6972','UId':'85d77f2b-5e99-4202-b223-e24cd40bbff0','Col':5,'Row':25,'Format':'numberic','Value':'846980599','TargetCode':''}</v>
      </c>
    </row>
    <row r="114" spans="1:1">
      <c r="A114" t="str">
        <f>CONCATENATE("{'SheetId':'471cb1af-a389-4255-b9dd-016a7d1c6972'",",","'UId':'fb81c32f-e253-402b-9cc0-1ab569e0c7b8'",",'Col':",COLUMN(BCThuNhap_06203!F25),",'Row':",ROW(BCThuNhap_06203!F25),",","'Format':'numberic'",",'Value':'",SUBSTITUTE(BCThuNhap_06203!F25,"'","\'"),"','TargetCode':''}")</f>
        <v>{'SheetId':'471cb1af-a389-4255-b9dd-016a7d1c6972','UId':'fb81c32f-e253-402b-9cc0-1ab569e0c7b8','Col':6,'Row':25,'Format':'numberic','Value':'685883810','TargetCode':''}</v>
      </c>
    </row>
    <row r="115" spans="1:1">
      <c r="A115" t="str">
        <f>CONCATENATE("{'SheetId':'471cb1af-a389-4255-b9dd-016a7d1c6972'",",","'UId':'395a68c7-850e-430f-8764-b59595c5c1d0'",",'Col':",COLUMN(BCThuNhap_06203!G25),",'Row':",ROW(BCThuNhap_06203!G25),",","'Format':'numberic'",",'Value':'",SUBSTITUTE(BCThuNhap_06203!G25,"'","\'"),"','TargetCode':''}")</f>
        <v>{'SheetId':'471cb1af-a389-4255-b9dd-016a7d1c6972','UId':'395a68c7-850e-430f-8764-b59595c5c1d0','Col':7,'Row':25,'Format':'numberic','Value':'685883810','TargetCode':''}</v>
      </c>
    </row>
    <row r="116" spans="1:1">
      <c r="A116" t="str">
        <f>CONCATENATE("{'SheetId':'471cb1af-a389-4255-b9dd-016a7d1c6972'",",","'UId':'d215e183-509a-47ac-b9d8-5a5abe9a6b59'",",'Col':",COLUMN(BCThuNhap_06203!C26),",'Row':",ROW(BCThuNhap_06203!C26),",","'Format':'string'",",'Value':'",SUBSTITUTE(BCThuNhap_06203!C26,"'","\'"),"','TargetCode':''}")</f>
        <v>{'SheetId':'471cb1af-a389-4255-b9dd-016a7d1c6972','UId':'d215e183-509a-47ac-b9d8-5a5abe9a6b59','Col':3,'Row':26,'Format':'string','Value':'','TargetCode':''}</v>
      </c>
    </row>
    <row r="117" spans="1:1">
      <c r="A117" t="str">
        <f>CONCATENATE("{'SheetId':'471cb1af-a389-4255-b9dd-016a7d1c6972'",",","'UId':'43248b63-d59f-4530-b1e1-a3c515cb7a07'",",'Col':",COLUMN(BCThuNhap_06203!D26),",'Row':",ROW(BCThuNhap_06203!D26),",","'Format':'numberic'",",'Value':'",SUBSTITUTE(BCThuNhap_06203!D26,"'","\'"),"','TargetCode':''}")</f>
        <v>{'SheetId':'471cb1af-a389-4255-b9dd-016a7d1c6972','UId':'43248b63-d59f-4530-b1e1-a3c515cb7a07','Col':4,'Row':26,'Format':'numberic','Value':'147407613','TargetCode':''}</v>
      </c>
    </row>
    <row r="118" spans="1:1">
      <c r="A118" t="str">
        <f>CONCATENATE("{'SheetId':'471cb1af-a389-4255-b9dd-016a7d1c6972'",",","'UId':'80c0b4d0-fa12-484e-889c-119930c17704'",",'Col':",COLUMN(BCThuNhap_06203!E26),",'Row':",ROW(BCThuNhap_06203!E26),",","'Format':'numberic'",",'Value':'",SUBSTITUTE(BCThuNhap_06203!E26,"'","\'"),"','TargetCode':''}")</f>
        <v>{'SheetId':'471cb1af-a389-4255-b9dd-016a7d1c6972','UId':'80c0b4d0-fa12-484e-889c-119930c17704','Col':5,'Row':26,'Format':'numberic','Value':'147407613','TargetCode':''}</v>
      </c>
    </row>
    <row r="119" spans="1:1">
      <c r="A119" t="str">
        <f>CONCATENATE("{'SheetId':'471cb1af-a389-4255-b9dd-016a7d1c6972'",",","'UId':'573e79f0-fb08-45a3-8eee-01810cb56a67'",",'Col':",COLUMN(BCThuNhap_06203!F26),",'Row':",ROW(BCThuNhap_06203!F26),",","'Format':'numberic'",",'Value':'",SUBSTITUTE(BCThuNhap_06203!F26,"'","\'"),"','TargetCode':''}")</f>
        <v>{'SheetId':'471cb1af-a389-4255-b9dd-016a7d1c6972','UId':'573e79f0-fb08-45a3-8eee-01810cb56a67','Col':6,'Row':26,'Format':'numberic','Value':'82233858','TargetCode':''}</v>
      </c>
    </row>
    <row r="120" spans="1:1">
      <c r="A120" t="str">
        <f>CONCATENATE("{'SheetId':'471cb1af-a389-4255-b9dd-016a7d1c6972'",",","'UId':'865c154a-bd91-470b-8302-ac3706577d95'",",'Col':",COLUMN(BCThuNhap_06203!G26),",'Row':",ROW(BCThuNhap_06203!G26),",","'Format':'numberic'",",'Value':'",SUBSTITUTE(BCThuNhap_06203!G26,"'","\'"),"','TargetCode':''}")</f>
        <v>{'SheetId':'471cb1af-a389-4255-b9dd-016a7d1c6972','UId':'865c154a-bd91-470b-8302-ac3706577d95','Col':7,'Row':26,'Format':'numberic','Value':'82233858','TargetCode':''}</v>
      </c>
    </row>
    <row r="121" spans="1:1">
      <c r="A121" t="str">
        <f>CONCATENATE("{'SheetId':'471cb1af-a389-4255-b9dd-016a7d1c6972'",",","'UId':'d9558ed4-d67b-4ddc-8c8b-252d65a9a8b5'",",'Col':",COLUMN(BCThuNhap_06203!C27),",'Row':",ROW(BCThuNhap_06203!C27),",","'Format':'string'",",'Value':'",SUBSTITUTE(BCThuNhap_06203!C27,"'","\'"),"','TargetCode':''}")</f>
        <v>{'SheetId':'471cb1af-a389-4255-b9dd-016a7d1c6972','UId':'d9558ed4-d67b-4ddc-8c8b-252d65a9a8b5','Col':3,'Row':27,'Format':'string','Value':'','TargetCode':''}</v>
      </c>
    </row>
    <row r="122" spans="1:1">
      <c r="A122" t="str">
        <f>CONCATENATE("{'SheetId':'471cb1af-a389-4255-b9dd-016a7d1c6972'",",","'UId':'b95a1451-3d17-4326-a897-30401dbbfd89'",",'Col':",COLUMN(BCThuNhap_06203!D27),",'Row':",ROW(BCThuNhap_06203!D27),",","'Format':'numberic'",",'Value':'",SUBSTITUTE(BCThuNhap_06203!D27,"'","\'"),"','TargetCode':''}")</f>
        <v>{'SheetId':'471cb1af-a389-4255-b9dd-016a7d1c6972','UId':'b95a1451-3d17-4326-a897-30401dbbfd89','Col':4,'Row':27,'Format':'numberic','Value':'71264474','TargetCode':''}</v>
      </c>
    </row>
    <row r="123" spans="1:1">
      <c r="A123" t="str">
        <f>CONCATENATE("{'SheetId':'471cb1af-a389-4255-b9dd-016a7d1c6972'",",","'UId':'93ae1556-92ad-467a-b0c5-62b935edda65'",",'Col':",COLUMN(BCThuNhap_06203!E27),",'Row':",ROW(BCThuNhap_06203!E27),",","'Format':'numberic'",",'Value':'",SUBSTITUTE(BCThuNhap_06203!E27,"'","\'"),"','TargetCode':''}")</f>
        <v>{'SheetId':'471cb1af-a389-4255-b9dd-016a7d1c6972','UId':'93ae1556-92ad-467a-b0c5-62b935edda65','Col':5,'Row':27,'Format':'numberic','Value':'71264474','TargetCode':''}</v>
      </c>
    </row>
    <row r="124" spans="1:1">
      <c r="A124" t="str">
        <f>CONCATENATE("{'SheetId':'471cb1af-a389-4255-b9dd-016a7d1c6972'",",","'UId':'01d09365-7fb0-4926-90f5-fc95b4cf1df4'",",'Col':",COLUMN(BCThuNhap_06203!F27),",'Row':",ROW(BCThuNhap_06203!F27),",","'Format':'numberic'",",'Value':'",SUBSTITUTE(BCThuNhap_06203!F27,"'","\'"),"','TargetCode':''}")</f>
        <v>{'SheetId':'471cb1af-a389-4255-b9dd-016a7d1c6972','UId':'01d09365-7fb0-4926-90f5-fc95b4cf1df4','Col':6,'Row':27,'Format':'numberic','Value':'69000000','TargetCode':''}</v>
      </c>
    </row>
    <row r="125" spans="1:1">
      <c r="A125" t="str">
        <f>CONCATENATE("{'SheetId':'471cb1af-a389-4255-b9dd-016a7d1c6972'",",","'UId':'06f35d7c-739d-41de-be6b-79d9211f23f1'",",'Col':",COLUMN(BCThuNhap_06203!G27),",'Row':",ROW(BCThuNhap_06203!G27),",","'Format':'numberic'",",'Value':'",SUBSTITUTE(BCThuNhap_06203!G27,"'","\'"),"','TargetCode':''}")</f>
        <v>{'SheetId':'471cb1af-a389-4255-b9dd-016a7d1c6972','UId':'06f35d7c-739d-41de-be6b-79d9211f23f1','Col':7,'Row':27,'Format':'numberic','Value':'69000000','TargetCode':''}</v>
      </c>
    </row>
    <row r="126" spans="1:1">
      <c r="A126" t="str">
        <f>CONCATENATE("{'SheetId':'471cb1af-a389-4255-b9dd-016a7d1c6972'",",","'UId':'8e45e75f-de7f-4d62-842d-a9a5ab3a849c'",",'Col':",COLUMN(BCThuNhap_06203!C28),",'Row':",ROW(BCThuNhap_06203!C28),",","'Format':'string'",",'Value':'",SUBSTITUTE(BCThuNhap_06203!C28,"'","\'"),"','TargetCode':''}")</f>
        <v>{'SheetId':'471cb1af-a389-4255-b9dd-016a7d1c6972','UId':'8e45e75f-de7f-4d62-842d-a9a5ab3a849c','Col':3,'Row':28,'Format':'string','Value':'','TargetCode':''}</v>
      </c>
    </row>
    <row r="127" spans="1:1">
      <c r="A127" t="str">
        <f>CONCATENATE("{'SheetId':'471cb1af-a389-4255-b9dd-016a7d1c6972'",",","'UId':'d0c4ca5a-c868-4ff5-877a-5c45f57de88b'",",'Col':",COLUMN(BCThuNhap_06203!D28),",'Row':",ROW(BCThuNhap_06203!D28),",","'Format':'numberic'",",'Value':'",SUBSTITUTE(BCThuNhap_06203!D28,"'","\'"),"','TargetCode':''}")</f>
        <v>{'SheetId':'471cb1af-a389-4255-b9dd-016a7d1c6972','UId':'d0c4ca5a-c868-4ff5-877a-5c45f57de88b','Col':4,'Row':28,'Format':'numberic','Value':'73640000','TargetCode':''}</v>
      </c>
    </row>
    <row r="128" spans="1:1">
      <c r="A128" t="str">
        <f>CONCATENATE("{'SheetId':'471cb1af-a389-4255-b9dd-016a7d1c6972'",",","'UId':'5bd4bbcd-0eec-4c2e-b3b6-b12c76c99db4'",",'Col':",COLUMN(BCThuNhap_06203!E28),",'Row':",ROW(BCThuNhap_06203!E28),",","'Format':'numberic'",",'Value':'",SUBSTITUTE(BCThuNhap_06203!E28,"'","\'"),"','TargetCode':''}")</f>
        <v>{'SheetId':'471cb1af-a389-4255-b9dd-016a7d1c6972','UId':'5bd4bbcd-0eec-4c2e-b3b6-b12c76c99db4','Col':5,'Row':28,'Format':'numberic','Value':'73640000','TargetCode':''}</v>
      </c>
    </row>
    <row r="129" spans="1:1">
      <c r="A129" t="str">
        <f>CONCATENATE("{'SheetId':'471cb1af-a389-4255-b9dd-016a7d1c6972'",",","'UId':'7837e364-6063-43ce-8aff-eaf1f2214323'",",'Col':",COLUMN(BCThuNhap_06203!F28),",'Row':",ROW(BCThuNhap_06203!F28),",","'Format':'numberic'",",'Value':'",SUBSTITUTE(BCThuNhap_06203!F28,"'","\'"),"','TargetCode':''}")</f>
        <v>{'SheetId':'471cb1af-a389-4255-b9dd-016a7d1c6972','UId':'7837e364-6063-43ce-8aff-eaf1f2214323','Col':6,'Row':28,'Format':'numberic','Value':'10860000','TargetCode':''}</v>
      </c>
    </row>
    <row r="130" spans="1:1">
      <c r="A130" t="str">
        <f>CONCATENATE("{'SheetId':'471cb1af-a389-4255-b9dd-016a7d1c6972'",",","'UId':'cfa3e449-2aeb-4d67-82a2-f919eaf9a577'",",'Col':",COLUMN(BCThuNhap_06203!G28),",'Row':",ROW(BCThuNhap_06203!G28),",","'Format':'numberic'",",'Value':'",SUBSTITUTE(BCThuNhap_06203!G28,"'","\'"),"','TargetCode':''}")</f>
        <v>{'SheetId':'471cb1af-a389-4255-b9dd-016a7d1c6972','UId':'cfa3e449-2aeb-4d67-82a2-f919eaf9a577','Col':7,'Row':28,'Format':'numberic','Value':'10860000','TargetCode':''}</v>
      </c>
    </row>
    <row r="131" spans="1:1">
      <c r="A131" t="str">
        <f>CONCATENATE("{'SheetId':'471cb1af-a389-4255-b9dd-016a7d1c6972'",",","'UId':'5f468082-3239-41c1-876e-25cd25bc46fd'",",'Col':",COLUMN(BCThuNhap_06203!C29),",'Row':",ROW(BCThuNhap_06203!C29),",","'Format':'string'",",'Value':'",SUBSTITUTE(BCThuNhap_06203!C29,"'","\'"),"','TargetCode':''}")</f>
        <v>{'SheetId':'471cb1af-a389-4255-b9dd-016a7d1c6972','UId':'5f468082-3239-41c1-876e-25cd25bc46fd','Col':3,'Row':29,'Format':'string','Value':'','TargetCode':''}</v>
      </c>
    </row>
    <row r="132" spans="1:1">
      <c r="A132" t="str">
        <f>CONCATENATE("{'SheetId':'471cb1af-a389-4255-b9dd-016a7d1c6972'",",","'UId':'7e365e48-758c-495f-9212-daf35ee8e743'",",'Col':",COLUMN(BCThuNhap_06203!D29),",'Row':",ROW(BCThuNhap_06203!D29),",","'Format':'numberic'",",'Value':'",SUBSTITUTE(BCThuNhap_06203!D29,"'","\'"),"','TargetCode':''}")</f>
        <v>{'SheetId':'471cb1af-a389-4255-b9dd-016a7d1c6972','UId':'7e365e48-758c-495f-9212-daf35ee8e743','Col':4,'Row':29,'Format':'numberic','Value':'2503139','TargetCode':''}</v>
      </c>
    </row>
    <row r="133" spans="1:1">
      <c r="A133" t="str">
        <f>CONCATENATE("{'SheetId':'471cb1af-a389-4255-b9dd-016a7d1c6972'",",","'UId':'77e4018d-8b9d-4b09-954d-c3a71e8c2242'",",'Col':",COLUMN(BCThuNhap_06203!E29),",'Row':",ROW(BCThuNhap_06203!E29),",","'Format':'numberic'",",'Value':'",SUBSTITUTE(BCThuNhap_06203!E29,"'","\'"),"','TargetCode':''}")</f>
        <v>{'SheetId':'471cb1af-a389-4255-b9dd-016a7d1c6972','UId':'77e4018d-8b9d-4b09-954d-c3a71e8c2242','Col':5,'Row':29,'Format':'numberic','Value':'2503139','TargetCode':''}</v>
      </c>
    </row>
    <row r="134" spans="1:1">
      <c r="A134" t="str">
        <f>CONCATENATE("{'SheetId':'471cb1af-a389-4255-b9dd-016a7d1c6972'",",","'UId':'54522454-c653-401d-bd1e-5d47cb93881b'",",'Col':",COLUMN(BCThuNhap_06203!F29),",'Row':",ROW(BCThuNhap_06203!F29),",","'Format':'numberic'",",'Value':'",SUBSTITUTE(BCThuNhap_06203!F29,"'","\'"),"','TargetCode':''}")</f>
        <v>{'SheetId':'471cb1af-a389-4255-b9dd-016a7d1c6972','UId':'54522454-c653-401d-bd1e-5d47cb93881b','Col':6,'Row':29,'Format':'numberic','Value':'2373858','TargetCode':''}</v>
      </c>
    </row>
    <row r="135" spans="1:1">
      <c r="A135" t="str">
        <f>CONCATENATE("{'SheetId':'471cb1af-a389-4255-b9dd-016a7d1c6972'",",","'UId':'ff8765ec-e3f6-4656-8c3c-56c0afb65395'",",'Col':",COLUMN(BCThuNhap_06203!G29),",'Row':",ROW(BCThuNhap_06203!G29),",","'Format':'numberic'",",'Value':'",SUBSTITUTE(BCThuNhap_06203!G29,"'","\'"),"','TargetCode':''}")</f>
        <v>{'SheetId':'471cb1af-a389-4255-b9dd-016a7d1c6972','UId':'ff8765ec-e3f6-4656-8c3c-56c0afb65395','Col':7,'Row':29,'Format':'numberic','Value':'2373858','TargetCode':''}</v>
      </c>
    </row>
    <row r="136" spans="1:1">
      <c r="A136" t="str">
        <f>CONCATENATE("{'SheetId':'471cb1af-a389-4255-b9dd-016a7d1c6972'",",","'UId':'84e93a94-5eb6-4940-8056-c520720329b1'",",'Col':",COLUMN(BCThuNhap_06203!C30),",'Row':",ROW(BCThuNhap_06203!C30),",","'Format':'string'",",'Value':'",SUBSTITUTE(BCThuNhap_06203!C30,"'","\'"),"','TargetCode':''}")</f>
        <v>{'SheetId':'471cb1af-a389-4255-b9dd-016a7d1c6972','UId':'84e93a94-5eb6-4940-8056-c520720329b1','Col':3,'Row':30,'Format':'string','Value':'','TargetCode':''}</v>
      </c>
    </row>
    <row r="137" spans="1:1">
      <c r="A137" t="str">
        <f>CONCATENATE("{'SheetId':'471cb1af-a389-4255-b9dd-016a7d1c6972'",",","'UId':'efb1968f-a0f2-4642-a44d-b1701c58b5ba'",",'Col':",COLUMN(BCThuNhap_06203!D30),",'Row':",ROW(BCThuNhap_06203!D30),",","'Format':'numberic'",",'Value':'",SUBSTITUTE(BCThuNhap_06203!D30,"'","\'"),"','TargetCode':''}")</f>
        <v>{'SheetId':'471cb1af-a389-4255-b9dd-016a7d1c6972','UId':'efb1968f-a0f2-4642-a44d-b1701c58b5ba','Col':4,'Row':30,'Format':'numberic','Value':'108900000','TargetCode':''}</v>
      </c>
    </row>
    <row r="138" spans="1:1">
      <c r="A138" t="str">
        <f>CONCATENATE("{'SheetId':'471cb1af-a389-4255-b9dd-016a7d1c6972'",",","'UId':'9a89a783-e8e9-4ecd-a024-50a89cba2144'",",'Col':",COLUMN(BCThuNhap_06203!E30),",'Row':",ROW(BCThuNhap_06203!E30),",","'Format':'numberic'",",'Value':'",SUBSTITUTE(BCThuNhap_06203!E30,"'","\'"),"','TargetCode':''}")</f>
        <v>{'SheetId':'471cb1af-a389-4255-b9dd-016a7d1c6972','UId':'9a89a783-e8e9-4ecd-a024-50a89cba2144','Col':5,'Row':30,'Format':'numberic','Value':'108900000','TargetCode':''}</v>
      </c>
    </row>
    <row r="139" spans="1:1">
      <c r="A139" t="str">
        <f>CONCATENATE("{'SheetId':'471cb1af-a389-4255-b9dd-016a7d1c6972'",",","'UId':'e5e9b955-4fda-4dd3-9143-48dd0e769728'",",'Col':",COLUMN(BCThuNhap_06203!F30),",'Row':",ROW(BCThuNhap_06203!F30),",","'Format':'numberic'",",'Value':'",SUBSTITUTE(BCThuNhap_06203!F30,"'","\'"),"','TargetCode':''}")</f>
        <v>{'SheetId':'471cb1af-a389-4255-b9dd-016a7d1c6972','UId':'e5e9b955-4fda-4dd3-9143-48dd0e769728','Col':6,'Row':30,'Format':'numberic','Value':'108900000','TargetCode':''}</v>
      </c>
    </row>
    <row r="140" spans="1:1">
      <c r="A140" t="str">
        <f>CONCATENATE("{'SheetId':'471cb1af-a389-4255-b9dd-016a7d1c6972'",",","'UId':'431a7ee6-5874-43b6-999f-d476f8f7c41d'",",'Col':",COLUMN(BCThuNhap_06203!G30),",'Row':",ROW(BCThuNhap_06203!G30),",","'Format':'numberic'",",'Value':'",SUBSTITUTE(BCThuNhap_06203!G30,"'","\'"),"','TargetCode':''}")</f>
        <v>{'SheetId':'471cb1af-a389-4255-b9dd-016a7d1c6972','UId':'431a7ee6-5874-43b6-999f-d476f8f7c41d','Col':7,'Row':30,'Format':'numberic','Value':'108900000','TargetCode':''}</v>
      </c>
    </row>
    <row r="141" spans="1:1">
      <c r="A141" t="str">
        <f>CONCATENATE("{'SheetId':'471cb1af-a389-4255-b9dd-016a7d1c6972'",",","'UId':'fded2ab1-ad6b-49dd-bfa3-c7d92c078dcb'",",'Col':",COLUMN(BCThuNhap_06203!C31),",'Row':",ROW(BCThuNhap_06203!C31),",","'Format':'string'",",'Value':'",SUBSTITUTE(BCThuNhap_06203!C31,"'","\'"),"','TargetCode':''}")</f>
        <v>{'SheetId':'471cb1af-a389-4255-b9dd-016a7d1c6972','UId':'fded2ab1-ad6b-49dd-bfa3-c7d92c078dcb','Col':3,'Row':31,'Format':'string','Value':'','TargetCode':''}</v>
      </c>
    </row>
    <row r="142" spans="1:1">
      <c r="A142" t="str">
        <f>CONCATENATE("{'SheetId':'471cb1af-a389-4255-b9dd-016a7d1c6972'",",","'UId':'0720f6e9-7bb0-405a-90b6-38964bbf6641'",",'Col':",COLUMN(BCThuNhap_06203!D31),",'Row':",ROW(BCThuNhap_06203!D31),",","'Format':'numberic'",",'Value':'",SUBSTITUTE(BCThuNhap_06203!D31,"'","\'"),"','TargetCode':''}")</f>
        <v>{'SheetId':'471cb1af-a389-4255-b9dd-016a7d1c6972','UId':'0720f6e9-7bb0-405a-90b6-38964bbf6641','Col':4,'Row':31,'Format':'numberic','Value':'395175000','TargetCode':''}</v>
      </c>
    </row>
    <row r="143" spans="1:1">
      <c r="A143" t="str">
        <f>CONCATENATE("{'SheetId':'471cb1af-a389-4255-b9dd-016a7d1c6972'",",","'UId':'e66ef84c-9ee1-46c5-be9e-03bcfea6ddd8'",",'Col':",COLUMN(BCThuNhap_06203!E31),",'Row':",ROW(BCThuNhap_06203!E31),",","'Format':'numberic'",",'Value':'",SUBSTITUTE(BCThuNhap_06203!E31,"'","\'"),"','TargetCode':''}")</f>
        <v>{'SheetId':'471cb1af-a389-4255-b9dd-016a7d1c6972','UId':'e66ef84c-9ee1-46c5-be9e-03bcfea6ddd8','Col':5,'Row':31,'Format':'numberic','Value':'395175000','TargetCode':''}</v>
      </c>
    </row>
    <row r="144" spans="1:1">
      <c r="A144" t="str">
        <f>CONCATENATE("{'SheetId':'471cb1af-a389-4255-b9dd-016a7d1c6972'",",","'UId':'b41e02a8-388d-4f89-a2cf-524fa3e79099'",",'Col':",COLUMN(BCThuNhap_06203!F31),",'Row':",ROW(BCThuNhap_06203!F31),",","'Format':'numberic'",",'Value':'",SUBSTITUTE(BCThuNhap_06203!F31,"'","\'"),"','TargetCode':''}")</f>
        <v>{'SheetId':'471cb1af-a389-4255-b9dd-016a7d1c6972','UId':'b41e02a8-388d-4f89-a2cf-524fa3e79099','Col':6,'Row':31,'Format':'numberic','Value':'395175000','TargetCode':''}</v>
      </c>
    </row>
    <row r="145" spans="1:1">
      <c r="A145" t="str">
        <f>CONCATENATE("{'SheetId':'471cb1af-a389-4255-b9dd-016a7d1c6972'",",","'UId':'f4cc6ab3-2a4b-4ba2-8b5d-38d749985112'",",'Col':",COLUMN(BCThuNhap_06203!G31),",'Row':",ROW(BCThuNhap_06203!G31),",","'Format':'numberic'",",'Value':'",SUBSTITUTE(BCThuNhap_06203!G31,"'","\'"),"','TargetCode':''}")</f>
        <v>{'SheetId':'471cb1af-a389-4255-b9dd-016a7d1c6972','UId':'f4cc6ab3-2a4b-4ba2-8b5d-38d749985112','Col':7,'Row':31,'Format':'numberic','Value':'395175000','TargetCode':''}</v>
      </c>
    </row>
    <row r="146" spans="1:1">
      <c r="A146" t="str">
        <f>CONCATENATE("{'SheetId':'471cb1af-a389-4255-b9dd-016a7d1c6972'",",","'UId':'29016fa2-555a-423f-add4-2949c8bf9473'",",'Col':",COLUMN(BCThuNhap_06203!C32),",'Row':",ROW(BCThuNhap_06203!C32),",","'Format':'string'",",'Value':'",SUBSTITUTE(BCThuNhap_06203!C32,"'","\'"),"','TargetCode':''}")</f>
        <v>{'SheetId':'471cb1af-a389-4255-b9dd-016a7d1c6972','UId':'29016fa2-555a-423f-add4-2949c8bf9473','Col':3,'Row':32,'Format':'string','Value':'','TargetCode':''}</v>
      </c>
    </row>
    <row r="147" spans="1:1">
      <c r="A147" t="str">
        <f>CONCATENATE("{'SheetId':'471cb1af-a389-4255-b9dd-016a7d1c6972'",",","'UId':'4f68404f-fe18-4406-a628-6e9497915cb1'",",'Col':",COLUMN(BCThuNhap_06203!D32),",'Row':",ROW(BCThuNhap_06203!D32),",","'Format':'numberic'",",'Value':'",SUBSTITUTE(BCThuNhap_06203!D32,"'","\'"),"','TargetCode':''}")</f>
        <v>{'SheetId':'471cb1af-a389-4255-b9dd-016a7d1c6972','UId':'4f68404f-fe18-4406-a628-6e9497915cb1','Col':4,'Row':32,'Format':'numberic','Value':'66000000','TargetCode':''}</v>
      </c>
    </row>
    <row r="148" spans="1:1">
      <c r="A148" t="str">
        <f>CONCATENATE("{'SheetId':'471cb1af-a389-4255-b9dd-016a7d1c6972'",",","'UId':'444b7044-a735-4f7b-9a93-7f7e7fcb8dfa'",",'Col':",COLUMN(BCThuNhap_06203!E32),",'Row':",ROW(BCThuNhap_06203!E32),",","'Format':'numberic'",",'Value':'",SUBSTITUTE(BCThuNhap_06203!E32,"'","\'"),"','TargetCode':''}")</f>
        <v>{'SheetId':'471cb1af-a389-4255-b9dd-016a7d1c6972','UId':'444b7044-a735-4f7b-9a93-7f7e7fcb8dfa','Col':5,'Row':32,'Format':'numberic','Value':'66000000','TargetCode':''}</v>
      </c>
    </row>
    <row r="149" spans="1:1">
      <c r="A149" t="str">
        <f>CONCATENATE("{'SheetId':'471cb1af-a389-4255-b9dd-016a7d1c6972'",",","'UId':'089d4c07-8687-4b9b-af51-2b1fdd20c944'",",'Col':",COLUMN(BCThuNhap_06203!F32),",'Row':",ROW(BCThuNhap_06203!F32),",","'Format':'numberic'",",'Value':'",SUBSTITUTE(BCThuNhap_06203!F32,"'","\'"),"','TargetCode':''}")</f>
        <v>{'SheetId':'471cb1af-a389-4255-b9dd-016a7d1c6972','UId':'089d4c07-8687-4b9b-af51-2b1fdd20c944','Col':6,'Row':32,'Format':'numberic','Value':'66000000','TargetCode':''}</v>
      </c>
    </row>
    <row r="150" spans="1:1">
      <c r="A150" t="str">
        <f>CONCATENATE("{'SheetId':'471cb1af-a389-4255-b9dd-016a7d1c6972'",",","'UId':'40ebf994-f0c7-489f-ab17-f90ae69aaeb1'",",'Col':",COLUMN(BCThuNhap_06203!G32),",'Row':",ROW(BCThuNhap_06203!G32),",","'Format':'numberic'",",'Value':'",SUBSTITUTE(BCThuNhap_06203!G32,"'","\'"),"','TargetCode':''}")</f>
        <v>{'SheetId':'471cb1af-a389-4255-b9dd-016a7d1c6972','UId':'40ebf994-f0c7-489f-ab17-f90ae69aaeb1','Col':7,'Row':32,'Format':'numberic','Value':'66000000','TargetCode':''}</v>
      </c>
    </row>
    <row r="151" spans="1:1">
      <c r="A151" t="str">
        <f>CONCATENATE("{'SheetId':'471cb1af-a389-4255-b9dd-016a7d1c6972'",",","'UId':'8ceb82d1-cdae-464a-ade8-607cebbce152'",",'Col':",COLUMN(BCThuNhap_06203!C33),",'Row':",ROW(BCThuNhap_06203!C33),",","'Format':'string'",",'Value':'",SUBSTITUTE(BCThuNhap_06203!C33,"'","\'"),"','TargetCode':''}")</f>
        <v>{'SheetId':'471cb1af-a389-4255-b9dd-016a7d1c6972','UId':'8ceb82d1-cdae-464a-ade8-607cebbce152','Col':3,'Row':33,'Format':'string','Value':'','TargetCode':''}</v>
      </c>
    </row>
    <row r="152" spans="1:1">
      <c r="A152" t="str">
        <f>CONCATENATE("{'SheetId':'471cb1af-a389-4255-b9dd-016a7d1c6972'",",","'UId':'aaca19f4-9b2d-4389-ae6d-b5609bdaeaa9'",",'Col':",COLUMN(BCThuNhap_06203!D33),",'Row':",ROW(BCThuNhap_06203!D33),",","'Format':'numberic'",",'Value':'",SUBSTITUTE(BCThuNhap_06203!D33,"'","\'"),"','TargetCode':''}")</f>
        <v>{'SheetId':'471cb1af-a389-4255-b9dd-016a7d1c6972','UId':'aaca19f4-9b2d-4389-ae6d-b5609bdaeaa9','Col':4,'Row':33,'Format':'numberic','Value':'0','TargetCode':''}</v>
      </c>
    </row>
    <row r="153" spans="1:1">
      <c r="A153" t="str">
        <f>CONCATENATE("{'SheetId':'471cb1af-a389-4255-b9dd-016a7d1c6972'",",","'UId':'fdb547c8-5822-425f-b5d8-2d370ad7b608'",",'Col':",COLUMN(BCThuNhap_06203!E33),",'Row':",ROW(BCThuNhap_06203!E33),",","'Format':'numberic'",",'Value':'",SUBSTITUTE(BCThuNhap_06203!E33,"'","\'"),"','TargetCode':''}")</f>
        <v>{'SheetId':'471cb1af-a389-4255-b9dd-016a7d1c6972','UId':'fdb547c8-5822-425f-b5d8-2d370ad7b608','Col':5,'Row':33,'Format':'numberic','Value':'0','TargetCode':''}</v>
      </c>
    </row>
    <row r="154" spans="1:1">
      <c r="A154" t="str">
        <f>CONCATENATE("{'SheetId':'471cb1af-a389-4255-b9dd-016a7d1c6972'",",","'UId':'375adf66-fa78-4014-a3ad-dba317c6b30c'",",'Col':",COLUMN(BCThuNhap_06203!F33),",'Row':",ROW(BCThuNhap_06203!F33),",","'Format':'numberic'",",'Value':'",SUBSTITUTE(BCThuNhap_06203!F33,"'","\'"),"','TargetCode':''}")</f>
        <v>{'SheetId':'471cb1af-a389-4255-b9dd-016a7d1c6972','UId':'375adf66-fa78-4014-a3ad-dba317c6b30c','Col':6,'Row':33,'Format':'numberic','Value':'0','TargetCode':''}</v>
      </c>
    </row>
    <row r="155" spans="1:1">
      <c r="A155" t="str">
        <f>CONCATENATE("{'SheetId':'471cb1af-a389-4255-b9dd-016a7d1c6972'",",","'UId':'60af2282-a5a2-43df-ab3b-1d58cc4d7cd2'",",'Col':",COLUMN(BCThuNhap_06203!G33),",'Row':",ROW(BCThuNhap_06203!G33),",","'Format':'numberic'",",'Value':'",SUBSTITUTE(BCThuNhap_06203!G33,"'","\'"),"','TargetCode':''}")</f>
        <v>{'SheetId':'471cb1af-a389-4255-b9dd-016a7d1c6972','UId':'60af2282-a5a2-43df-ab3b-1d58cc4d7cd2','Col':7,'Row':33,'Format':'numberic','Value':'0','TargetCode':''}</v>
      </c>
    </row>
    <row r="156" spans="1:1">
      <c r="A156" t="str">
        <f>CONCATENATE("{'SheetId':'471cb1af-a389-4255-b9dd-016a7d1c6972'",",","'UId':'4c6dc50b-a32e-4080-a91f-17d6d63d5cbb'",",'Col':",COLUMN(BCThuNhap_06203!C34),",'Row':",ROW(BCThuNhap_06203!C34),",","'Format':'string'",",'Value':'",SUBSTITUTE(BCThuNhap_06203!C34,"'","\'"),"','TargetCode':''}")</f>
        <v>{'SheetId':'471cb1af-a389-4255-b9dd-016a7d1c6972','UId':'4c6dc50b-a32e-4080-a91f-17d6d63d5cbb','Col':3,'Row':34,'Format':'string','Value':'','TargetCode':''}</v>
      </c>
    </row>
    <row r="157" spans="1:1">
      <c r="A157" t="str">
        <f>CONCATENATE("{'SheetId':'471cb1af-a389-4255-b9dd-016a7d1c6972'",",","'UId':'f213cfe9-3027-40dd-9b85-28b35acf59ac'",",'Col':",COLUMN(BCThuNhap_06203!D34),",'Row':",ROW(BCThuNhap_06203!D34),",","'Format':'numberic'",",'Value':'",SUBSTITUTE(BCThuNhap_06203!D34,"'","\'"),"','TargetCode':''}")</f>
        <v>{'SheetId':'471cb1af-a389-4255-b9dd-016a7d1c6972','UId':'f213cfe9-3027-40dd-9b85-28b35acf59ac','Col':4,'Row':34,'Format':'numberic','Value':'0','TargetCode':''}</v>
      </c>
    </row>
    <row r="158" spans="1:1">
      <c r="A158" t="str">
        <f>CONCATENATE("{'SheetId':'471cb1af-a389-4255-b9dd-016a7d1c6972'",",","'UId':'92dd330e-f061-4f19-a965-eaafb7aca0e7'",",'Col':",COLUMN(BCThuNhap_06203!E34),",'Row':",ROW(BCThuNhap_06203!E34),",","'Format':'numberic'",",'Value':'",SUBSTITUTE(BCThuNhap_06203!E34,"'","\'"),"','TargetCode':''}")</f>
        <v>{'SheetId':'471cb1af-a389-4255-b9dd-016a7d1c6972','UId':'92dd330e-f061-4f19-a965-eaafb7aca0e7','Col':5,'Row':34,'Format':'numberic','Value':'0','TargetCode':''}</v>
      </c>
    </row>
    <row r="159" spans="1:1">
      <c r="A159" t="str">
        <f>CONCATENATE("{'SheetId':'471cb1af-a389-4255-b9dd-016a7d1c6972'",",","'UId':'9d1654af-2318-41fa-94fc-d9317db0f581'",",'Col':",COLUMN(BCThuNhap_06203!F34),",'Row':",ROW(BCThuNhap_06203!F34),",","'Format':'numberic'",",'Value':'",SUBSTITUTE(BCThuNhap_06203!F34,"'","\'"),"','TargetCode':''}")</f>
        <v>{'SheetId':'471cb1af-a389-4255-b9dd-016a7d1c6972','UId':'9d1654af-2318-41fa-94fc-d9317db0f581','Col':6,'Row':34,'Format':'numberic','Value':'0','TargetCode':''}</v>
      </c>
    </row>
    <row r="160" spans="1:1">
      <c r="A160" t="str">
        <f>CONCATENATE("{'SheetId':'471cb1af-a389-4255-b9dd-016a7d1c6972'",",","'UId':'1bb9eb33-7f25-442a-b487-18cb65ffb1c7'",",'Col':",COLUMN(BCThuNhap_06203!G34),",'Row':",ROW(BCThuNhap_06203!G34),",","'Format':'numberic'",",'Value':'",SUBSTITUTE(BCThuNhap_06203!G34,"'","\'"),"','TargetCode':''}")</f>
        <v>{'SheetId':'471cb1af-a389-4255-b9dd-016a7d1c6972','UId':'1bb9eb33-7f25-442a-b487-18cb65ffb1c7','Col':7,'Row':34,'Format':'numberic','Value':'0','TargetCode':''}</v>
      </c>
    </row>
    <row r="161" spans="1:1">
      <c r="A161" t="str">
        <f>CONCATENATE("{'SheetId':'471cb1af-a389-4255-b9dd-016a7d1c6972'",",","'UId':'b4bbfe02-0c29-4166-9cb3-cde832e28ca4'",",'Col':",COLUMN(BCThuNhap_06203!C35),",'Row':",ROW(BCThuNhap_06203!C35),",","'Format':'string'",",'Value':'",SUBSTITUTE(BCThuNhap_06203!C35,"'","\'"),"','TargetCode':''}")</f>
        <v>{'SheetId':'471cb1af-a389-4255-b9dd-016a7d1c6972','UId':'b4bbfe02-0c29-4166-9cb3-cde832e28ca4','Col':3,'Row':35,'Format':'string','Value':'','TargetCode':''}</v>
      </c>
    </row>
    <row r="162" spans="1:1">
      <c r="A162" t="str">
        <f>CONCATENATE("{'SheetId':'471cb1af-a389-4255-b9dd-016a7d1c6972'",",","'UId':'f2da800c-d14a-485a-bf44-3d054e7f1312'",",'Col':",COLUMN(BCThuNhap_06203!D35),",'Row':",ROW(BCThuNhap_06203!D35),",","'Format':'numberic'",",'Value':'",SUBSTITUTE(BCThuNhap_06203!D35,"'","\'"),"','TargetCode':''}")</f>
        <v>{'SheetId':'471cb1af-a389-4255-b9dd-016a7d1c6972','UId':'f2da800c-d14a-485a-bf44-3d054e7f1312','Col':4,'Row':35,'Format':'numberic','Value':'0','TargetCode':''}</v>
      </c>
    </row>
    <row r="163" spans="1:1">
      <c r="A163" t="str">
        <f>CONCATENATE("{'SheetId':'471cb1af-a389-4255-b9dd-016a7d1c6972'",",","'UId':'0248eeb3-c9a5-48ea-bc60-601ca02a43f2'",",'Col':",COLUMN(BCThuNhap_06203!E35),",'Row':",ROW(BCThuNhap_06203!E35),",","'Format':'numberic'",",'Value':'",SUBSTITUTE(BCThuNhap_06203!E35,"'","\'"),"','TargetCode':''}")</f>
        <v>{'SheetId':'471cb1af-a389-4255-b9dd-016a7d1c6972','UId':'0248eeb3-c9a5-48ea-bc60-601ca02a43f2','Col':5,'Row':35,'Format':'numberic','Value':'0','TargetCode':''}</v>
      </c>
    </row>
    <row r="164" spans="1:1">
      <c r="A164" t="str">
        <f>CONCATENATE("{'SheetId':'471cb1af-a389-4255-b9dd-016a7d1c6972'",",","'UId':'4dc004c8-d1bf-4762-84cf-56d12150a09f'",",'Col':",COLUMN(BCThuNhap_06203!F35),",'Row':",ROW(BCThuNhap_06203!F35),",","'Format':'numberic'",",'Value':'",SUBSTITUTE(BCThuNhap_06203!F35,"'","\'"),"','TargetCode':''}")</f>
        <v>{'SheetId':'471cb1af-a389-4255-b9dd-016a7d1c6972','UId':'4dc004c8-d1bf-4762-84cf-56d12150a09f','Col':6,'Row':35,'Format':'numberic','Value':'0','TargetCode':''}</v>
      </c>
    </row>
    <row r="165" spans="1:1">
      <c r="A165" t="str">
        <f>CONCATENATE("{'SheetId':'471cb1af-a389-4255-b9dd-016a7d1c6972'",",","'UId':'0e7f57a8-6aee-461c-9fe5-c0762e70f0f3'",",'Col':",COLUMN(BCThuNhap_06203!G35),",'Row':",ROW(BCThuNhap_06203!G35),",","'Format':'numberic'",",'Value':'",SUBSTITUTE(BCThuNhap_06203!G35,"'","\'"),"','TargetCode':''}")</f>
        <v>{'SheetId':'471cb1af-a389-4255-b9dd-016a7d1c6972','UId':'0e7f57a8-6aee-461c-9fe5-c0762e70f0f3','Col':7,'Row':35,'Format':'numberic','Value':'0','TargetCode':''}</v>
      </c>
    </row>
    <row r="166" spans="1:1">
      <c r="A166" t="str">
        <f>CONCATENATE("{'SheetId':'471cb1af-a389-4255-b9dd-016a7d1c6972'",",","'UId':'adcff658-7cc0-4e23-a260-54c6c85af02c'",",'Col':",COLUMN(BCThuNhap_06203!C36),",'Row':",ROW(BCThuNhap_06203!C36),",","'Format':'string'",",'Value':'",SUBSTITUTE(BCThuNhap_06203!C36,"'","\'"),"','TargetCode':''}")</f>
        <v>{'SheetId':'471cb1af-a389-4255-b9dd-016a7d1c6972','UId':'adcff658-7cc0-4e23-a260-54c6c85af02c','Col':3,'Row':36,'Format':'string','Value':'','TargetCode':''}</v>
      </c>
    </row>
    <row r="167" spans="1:1">
      <c r="A167" t="str">
        <f>CONCATENATE("{'SheetId':'471cb1af-a389-4255-b9dd-016a7d1c6972'",",","'UId':'628f9fc4-40ff-4555-a77b-8261586d31df'",",'Col':",COLUMN(BCThuNhap_06203!D36),",'Row':",ROW(BCThuNhap_06203!D36),",","'Format':'numberic'",",'Value':'",SUBSTITUTE(BCThuNhap_06203!D36,"'","\'"),"','TargetCode':''}")</f>
        <v>{'SheetId':'471cb1af-a389-4255-b9dd-016a7d1c6972','UId':'628f9fc4-40ff-4555-a77b-8261586d31df','Col':4,'Row':36,'Format':'numberic','Value':'0','TargetCode':''}</v>
      </c>
    </row>
    <row r="168" spans="1:1">
      <c r="A168" t="str">
        <f>CONCATENATE("{'SheetId':'471cb1af-a389-4255-b9dd-016a7d1c6972'",",","'UId':'93957ffa-e9b6-4a3c-9bbd-4476a25a6d95'",",'Col':",COLUMN(BCThuNhap_06203!E36),",'Row':",ROW(BCThuNhap_06203!E36),",","'Format':'numberic'",",'Value':'",SUBSTITUTE(BCThuNhap_06203!E36,"'","\'"),"','TargetCode':''}")</f>
        <v>{'SheetId':'471cb1af-a389-4255-b9dd-016a7d1c6972','UId':'93957ffa-e9b6-4a3c-9bbd-4476a25a6d95','Col':5,'Row':36,'Format':'numberic','Value':'0','TargetCode':''}</v>
      </c>
    </row>
    <row r="169" spans="1:1">
      <c r="A169" t="str">
        <f>CONCATENATE("{'SheetId':'471cb1af-a389-4255-b9dd-016a7d1c6972'",",","'UId':'c378128f-ceab-47f5-9268-aaee5ea9c1e4'",",'Col':",COLUMN(BCThuNhap_06203!F36),",'Row':",ROW(BCThuNhap_06203!F36),",","'Format':'numberic'",",'Value':'",SUBSTITUTE(BCThuNhap_06203!F36,"'","\'"),"','TargetCode':''}")</f>
        <v>{'SheetId':'471cb1af-a389-4255-b9dd-016a7d1c6972','UId':'c378128f-ceab-47f5-9268-aaee5ea9c1e4','Col':6,'Row':36,'Format':'numberic','Value':'0','TargetCode':''}</v>
      </c>
    </row>
    <row r="170" spans="1:1">
      <c r="A170" t="str">
        <f>CONCATENATE("{'SheetId':'471cb1af-a389-4255-b9dd-016a7d1c6972'",",","'UId':'463138e5-5daf-4d20-9ed3-590c47f33c96'",",'Col':",COLUMN(BCThuNhap_06203!G36),",'Row':",ROW(BCThuNhap_06203!G36),",","'Format':'numberic'",",'Value':'",SUBSTITUTE(BCThuNhap_06203!G36,"'","\'"),"','TargetCode':''}")</f>
        <v>{'SheetId':'471cb1af-a389-4255-b9dd-016a7d1c6972','UId':'463138e5-5daf-4d20-9ed3-590c47f33c96','Col':7,'Row':36,'Format':'numberic','Value':'0','TargetCode':''}</v>
      </c>
    </row>
    <row r="171" spans="1:1">
      <c r="A171" t="str">
        <f>CONCATENATE("{'SheetId':'471cb1af-a389-4255-b9dd-016a7d1c6972'",",","'UId':'5193ba1d-8e4f-40b4-8047-bd38e772a26e'",",'Col':",COLUMN(BCThuNhap_06203!C37),",'Row':",ROW(BCThuNhap_06203!C37),",","'Format':'string'",",'Value':'",SUBSTITUTE(BCThuNhap_06203!C37,"'","\'"),"','TargetCode':''}")</f>
        <v>{'SheetId':'471cb1af-a389-4255-b9dd-016a7d1c6972','UId':'5193ba1d-8e4f-40b4-8047-bd38e772a26e','Col':3,'Row':37,'Format':'string','Value':'','TargetCode':''}</v>
      </c>
    </row>
    <row r="172" spans="1:1">
      <c r="A172" t="str">
        <f>CONCATENATE("{'SheetId':'471cb1af-a389-4255-b9dd-016a7d1c6972'",",","'UId':'2a086eec-6f10-4d0c-87ed-939beda15071'",",'Col':",COLUMN(BCThuNhap_06203!D37),",'Row':",ROW(BCThuNhap_06203!D37),",","'Format':'numberic'",",'Value':'",SUBSTITUTE(BCThuNhap_06203!D37,"'","\'"),"','TargetCode':''}")</f>
        <v>{'SheetId':'471cb1af-a389-4255-b9dd-016a7d1c6972','UId':'2a086eec-6f10-4d0c-87ed-939beda15071','Col':4,'Row':37,'Format':'numberic','Value':'32728767','TargetCode':''}</v>
      </c>
    </row>
    <row r="173" spans="1:1">
      <c r="A173" t="str">
        <f>CONCATENATE("{'SheetId':'471cb1af-a389-4255-b9dd-016a7d1c6972'",",","'UId':'7acb86e0-fc9a-48c5-a1c6-0a05101f0069'",",'Col':",COLUMN(BCThuNhap_06203!E37),",'Row':",ROW(BCThuNhap_06203!E37),",","'Format':'numberic'",",'Value':'",SUBSTITUTE(BCThuNhap_06203!E37,"'","\'"),"','TargetCode':''}")</f>
        <v>{'SheetId':'471cb1af-a389-4255-b9dd-016a7d1c6972','UId':'7acb86e0-fc9a-48c5-a1c6-0a05101f0069','Col':5,'Row':37,'Format':'numberic','Value':'32728767','TargetCode':''}</v>
      </c>
    </row>
    <row r="174" spans="1:1">
      <c r="A174" t="str">
        <f>CONCATENATE("{'SheetId':'471cb1af-a389-4255-b9dd-016a7d1c6972'",",","'UId':'dc093b78-cf69-4486-a226-7a713131dc9e'",",'Col':",COLUMN(BCThuNhap_06203!F37),",'Row':",ROW(BCThuNhap_06203!F37),",","'Format':'numberic'",",'Value':'",SUBSTITUTE(BCThuNhap_06203!F37,"'","\'"),"','TargetCode':''}")</f>
        <v>{'SheetId':'471cb1af-a389-4255-b9dd-016a7d1c6972','UId':'dc093b78-cf69-4486-a226-7a713131dc9e','Col':6,'Row':37,'Format':'numberic','Value':'27349727','TargetCode':''}</v>
      </c>
    </row>
    <row r="175" spans="1:1">
      <c r="A175" t="str">
        <f>CONCATENATE("{'SheetId':'471cb1af-a389-4255-b9dd-016a7d1c6972'",",","'UId':'53fff2a9-1984-4dbc-9c7b-8306cf181f9c'",",'Col':",COLUMN(BCThuNhap_06203!G37),",'Row':",ROW(BCThuNhap_06203!G37),",","'Format':'numberic'",",'Value':'",SUBSTITUTE(BCThuNhap_06203!G37,"'","\'"),"','TargetCode':''}")</f>
        <v>{'SheetId':'471cb1af-a389-4255-b9dd-016a7d1c6972','UId':'53fff2a9-1984-4dbc-9c7b-8306cf181f9c','Col':7,'Row':37,'Format':'numberic','Value':'27349727','TargetCode':''}</v>
      </c>
    </row>
    <row r="176" spans="1:1">
      <c r="A176"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{'SheetId':'5ca8c4ee-b8a7-4cfd-b34f-43f723c1d20d','UId':'fb07be56-9b59-40c3-beee-909a032a32d6','Col':3,'Row':2,'Format':'string','Value':'','TargetCode':''}</v>
      </c>
    </row>
    <row r="177" spans="1:1">
      <c r="A177"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78" spans="1:1">
      <c r="A178"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79" spans="1:1">
      <c r="A179"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{'SheetId':'5ca8c4ee-b8a7-4cfd-b34f-43f723c1d20d','UId':'053afd7a-ade3-48b1-9d5c-eae2fc7d04b6','Col':3,'Row':3,'Format':'string','Value':'','TargetCode':''}</v>
      </c>
    </row>
    <row r="180" spans="1:1">
      <c r="A180"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{'SheetId':'5ca8c4ee-b8a7-4cfd-b34f-43f723c1d20d','UId':'ce6a181f-084a-4a33-b6a9-651185810bdc','Col':4,'Row':3,'Format':'numberic','Value':'37984847186','TargetCode':''}</v>
      </c>
    </row>
    <row r="181" spans="1:1">
      <c r="A181"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{'SheetId':'5ca8c4ee-b8a7-4cfd-b34f-43f723c1d20d','UId':'1d939e59-c69a-48bf-904a-315ceeda28ea','Col':5,'Row':3,'Format':'numberic','Value':'6709281427','TargetCode':''}</v>
      </c>
    </row>
    <row r="182" spans="1:1">
      <c r="A182"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{'SheetId':'5ca8c4ee-b8a7-4cfd-b34f-43f723c1d20d','UId':'98160cb6-759e-4f67-bb95-2749a31686dd','Col':3,'Row':4,'Format':'string','Value':'','TargetCode':''}</v>
      </c>
    </row>
    <row r="183" spans="1:1">
      <c r="A183"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{'SheetId':'5ca8c4ee-b8a7-4cfd-b34f-43f723c1d20d','UId':'b02ad78a-3fdd-4842-b83c-00dd3755cf07','Col':4,'Row':4,'Format':'numberic','Value':'37984847186','TargetCode':''}</v>
      </c>
    </row>
    <row r="184" spans="1:1">
      <c r="A184"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{'SheetId':'5ca8c4ee-b8a7-4cfd-b34f-43f723c1d20d','UId':'836e99a6-b97f-484f-b6a4-45a3d3c12de4','Col':5,'Row':4,'Format':'numberic','Value':'6709281427','TargetCode':''}</v>
      </c>
    </row>
    <row r="185" spans="1:1">
      <c r="A18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{'SheetId':'5ca8c4ee-b8a7-4cfd-b34f-43f723c1d20d','UId':'2df7ad7e-f1a1-4080-8f7a-5538cd9074c6','Col':3,'Row':5,'Format':'string','Value':'','TargetCode':''}</v>
      </c>
    </row>
    <row r="186" spans="1:1">
      <c r="A186"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{'SheetId':'5ca8c4ee-b8a7-4cfd-b34f-43f723c1d20d','UId':'d9875ef9-de68-42f5-997b-3ced15c6e4b1','Col':4,'Row':5,'Format':'numberic','Value':'5225182783','TargetCode':''}</v>
      </c>
    </row>
    <row r="187" spans="1:1">
      <c r="A187"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{'SheetId':'5ca8c4ee-b8a7-4cfd-b34f-43f723c1d20d','UId':'1dffb530-ac80-4ef8-8b5d-a01ed56e85ae','Col':5,'Row':5,'Format':'numberic','Value':'1712218019','TargetCode':''}</v>
      </c>
    </row>
    <row r="188" spans="1:1">
      <c r="A188"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{'SheetId':'5ca8c4ee-b8a7-4cfd-b34f-43f723c1d20d','UId':'286559a1-834c-416b-b7e9-ecb0a300ebcf','Col':3,'Row':6,'Format':'string','Value':'','TargetCode':''}</v>
      </c>
    </row>
    <row r="189" spans="1:1">
      <c r="A189"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{'SheetId':'5ca8c4ee-b8a7-4cfd-b34f-43f723c1d20d','UId':'716975d1-7fdb-4857-aa1f-42944193125d','Col':4,'Row':6,'Format':'numberic','Value':'8515474693','TargetCode':''}</v>
      </c>
    </row>
    <row r="190" spans="1:1">
      <c r="A190"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{'SheetId':'5ca8c4ee-b8a7-4cfd-b34f-43f723c1d20d','UId':'8e457463-0132-4bf1-a716-54152f35ecd2','Col':5,'Row':6,'Format':'numberic','Value':'1666558501','TargetCode':''}</v>
      </c>
    </row>
    <row r="191" spans="1:1">
      <c r="A191"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{'SheetId':'5ca8c4ee-b8a7-4cfd-b34f-43f723c1d20d','UId':'5352a878-52ec-47fe-b1d3-774d44eb78e2','Col':3,'Row':7,'Format':'string','Value':'','TargetCode':''}</v>
      </c>
    </row>
    <row r="192" spans="1:1">
      <c r="A192"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{'SheetId':'5ca8c4ee-b8a7-4cfd-b34f-43f723c1d20d','UId':'1182a4f0-62b3-42fd-844d-6b2e0c51aaf3','Col':4,'Row':7,'Format':'numberic','Value':'24244189710','TargetCode':''}</v>
      </c>
    </row>
    <row r="193" spans="1:1">
      <c r="A193"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{'SheetId':'5ca8c4ee-b8a7-4cfd-b34f-43f723c1d20d','UId':'4a4befef-0d8e-4f29-ac71-ac02e1daf876','Col':5,'Row':7,'Format':'numberic','Value':'3330504907','TargetCode':''}</v>
      </c>
    </row>
    <row r="194" spans="1:1">
      <c r="A194"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{'SheetId':'5ca8c4ee-b8a7-4cfd-b34f-43f723c1d20d','UId':'55f8a238-3585-495b-9766-b52aa216932b','Col':3,'Row':8,'Format':'string','Value':'','TargetCode':''}</v>
      </c>
    </row>
    <row r="195" spans="1:1">
      <c r="A19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96" spans="1:1">
      <c r="A196"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97" spans="1:1">
      <c r="A197"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{'SheetId':'5ca8c4ee-b8a7-4cfd-b34f-43f723c1d20d','UId':'c5f8fc2d-c0ce-4597-9db2-ed225739d45d','Col':3,'Row':9,'Format':'string','Value':'','TargetCode':''}</v>
      </c>
    </row>
    <row r="198" spans="1:1">
      <c r="A198"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{'SheetId':'5ca8c4ee-b8a7-4cfd-b34f-43f723c1d20d','UId':'4e13c738-8973-49e9-b555-01e9514e9f1f','Col':4,'Row':9,'Format':'numberic','Value':'0','TargetCode':''}</v>
      </c>
    </row>
    <row r="199" spans="1:1">
      <c r="A199"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{'SheetId':'5ca8c4ee-b8a7-4cfd-b34f-43f723c1d20d','UId':'f3815463-910f-487b-929a-28460ea2ccf6','Col':5,'Row':9,'Format':'numberic','Value':'0','TargetCode':''}</v>
      </c>
    </row>
    <row r="200" spans="1:1">
      <c r="A200"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{'SheetId':'5ca8c4ee-b8a7-4cfd-b34f-43f723c1d20d','UId':'be788ac9-6271-4e5d-86e4-cd8c1670272a','Col':3,'Row':10,'Format':'string','Value':'','TargetCode':''}</v>
      </c>
    </row>
    <row r="201" spans="1:1">
      <c r="A201"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{'SheetId':'5ca8c4ee-b8a7-4cfd-b34f-43f723c1d20d','UId':'70b4c8de-9d01-42c3-9328-584157078ad2','Col':4,'Row':10,'Format':'numberic','Value':'366994580000','TargetCode':''}</v>
      </c>
    </row>
    <row r="202" spans="1:1">
      <c r="A202"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{'SheetId':'5ca8c4ee-b8a7-4cfd-b34f-43f723c1d20d','UId':'af330942-33a6-4666-bcd0-8031d89a48d3','Col':5,'Row':10,'Format':'numberic','Value':'72653424650','TargetCode':''}</v>
      </c>
    </row>
    <row r="203" spans="1:1">
      <c r="A203"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{'SheetId':'5ca8c4ee-b8a7-4cfd-b34f-43f723c1d20d','UId':'cb6829ad-cf69-4c23-84e5-dec8962756fa','Col':3,'Row':11,'Format':'string','Value':'','TargetCode':''}</v>
      </c>
    </row>
    <row r="204" spans="1:1">
      <c r="A204"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{'SheetId':'5ca8c4ee-b8a7-4cfd-b34f-43f723c1d20d','UId':'a9ac8c83-8f86-4ac0-bc93-2e0ccf1bde7b','Col':4,'Row':11,'Format':'numberic','Value':'366994580000','TargetCode':''}</v>
      </c>
    </row>
    <row r="205" spans="1:1">
      <c r="A20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{'SheetId':'5ca8c4ee-b8a7-4cfd-b34f-43f723c1d20d','UId':'ad1c9ab5-40ea-43f5-8b81-22d1c2ae84bc','Col':5,'Row':11,'Format':'numberic','Value':'72653424650','TargetCode':''}</v>
      </c>
    </row>
    <row r="206" spans="1:1">
      <c r="A206"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207" spans="1:1">
      <c r="A207"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{'SheetId':'5ca8c4ee-b8a7-4cfd-b34f-43f723c1d20d','UId':'ae35444f-eacb-4670-ae19-d5a4997fa00d','Col':4,'Row':12,'Format':'numberic','Value':'366994580000','TargetCode':''}</v>
      </c>
    </row>
    <row r="208" spans="1:1">
      <c r="A208"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{'SheetId':'5ca8c4ee-b8a7-4cfd-b34f-43f723c1d20d','UId':'8a2b31f2-32ad-4736-aa18-cfa3cef6299a','Col':5,'Row':12,'Format':'numberic','Value':'72653424650','TargetCode':''}</v>
      </c>
    </row>
    <row r="209" spans="1:1">
      <c r="A209"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{'SheetId':'5ca8c4ee-b8a7-4cfd-b34f-43f723c1d20d','UId':'4db1858f-590b-485a-96bd-ed8a1df0f077','Col':3,'Row':13,'Format':'string','Value':'','TargetCode':''}</v>
      </c>
    </row>
    <row r="210" spans="1:1">
      <c r="A210"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{'SheetId':'5ca8c4ee-b8a7-4cfd-b34f-43f723c1d20d','UId':'f4647ecb-0931-4272-bb98-9399c6d3525d','Col':4,'Row':13,'Format':'numberic','Value':'0','TargetCode':''}</v>
      </c>
    </row>
    <row r="211" spans="1:1">
      <c r="A211"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{'SheetId':'5ca8c4ee-b8a7-4cfd-b34f-43f723c1d20d','UId':'08386fc8-2ac9-41fc-84f2-145d7bac9a33','Col':5,'Row':13,'Format':'numberic','Value':'0','TargetCode':''}</v>
      </c>
    </row>
    <row r="212" spans="1:1">
      <c r="A212"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{'SheetId':'5ca8c4ee-b8a7-4cfd-b34f-43f723c1d20d','UId':'516028fc-6519-4636-9942-b6d64bceca72','Col':3,'Row':14,'Format':'string','Value':'','TargetCode':''}</v>
      </c>
    </row>
    <row r="213" spans="1:1">
      <c r="A213"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{'SheetId':'5ca8c4ee-b8a7-4cfd-b34f-43f723c1d20d','UId':'edf356bc-76e8-4073-807b-89247b115eb3','Col':4,'Row':14,'Format':'numberic','Value':'0','TargetCode':''}</v>
      </c>
    </row>
    <row r="214" spans="1:1">
      <c r="A214"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{'SheetId':'5ca8c4ee-b8a7-4cfd-b34f-43f723c1d20d','UId':'dd26ab28-8e45-4175-9fd2-5b88a795ed52','Col':5,'Row':14,'Format':'numberic','Value':'0','TargetCode':''}</v>
      </c>
    </row>
    <row r="215" spans="1:1">
      <c r="A21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{'SheetId':'5ca8c4ee-b8a7-4cfd-b34f-43f723c1d20d','UId':'86ba53aa-b328-4024-9068-06e0ad8d35e8','Col':3,'Row':15,'Format':'string','Value':'','TargetCode':''}</v>
      </c>
    </row>
    <row r="216" spans="1:1">
      <c r="A216"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{'SheetId':'5ca8c4ee-b8a7-4cfd-b34f-43f723c1d20d','UId':'4c057c2c-b13a-4e8a-9162-afb0dcd861ba','Col':4,'Row':15,'Format':'numberic','Value':'0','TargetCode':''}</v>
      </c>
    </row>
    <row r="217" spans="1:1">
      <c r="A217"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{'SheetId':'5ca8c4ee-b8a7-4cfd-b34f-43f723c1d20d','UId':'d7c7b84b-a2c3-4c1c-9681-93966dcd73c3','Col':5,'Row':15,'Format':'numberic','Value':'0','TargetCode':''}</v>
      </c>
    </row>
    <row r="218" spans="1:1">
      <c r="A218"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{'SheetId':'5ca8c4ee-b8a7-4cfd-b34f-43f723c1d20d','UId':'48d91216-04ae-469f-9e24-22171fe28dc8','Col':3,'Row':16,'Format':'string','Value':'','TargetCode':''}</v>
      </c>
    </row>
    <row r="219" spans="1:1">
      <c r="A219"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{'SheetId':'5ca8c4ee-b8a7-4cfd-b34f-43f723c1d20d','UId':'3b378ccf-8e0f-424f-8d0d-0b2daa559854','Col':4,'Row':16,'Format':'numberic','Value':'0','TargetCode':''}</v>
      </c>
    </row>
    <row r="220" spans="1:1">
      <c r="A220"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{'SheetId':'5ca8c4ee-b8a7-4cfd-b34f-43f723c1d20d','UId':'bddc1dbe-abc7-4aa2-8cd5-afa8c3613640','Col':5,'Row':16,'Format':'numberic','Value':'0','TargetCode':''}</v>
      </c>
    </row>
    <row r="221" spans="1:1">
      <c r="A221"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{'SheetId':'5ca8c4ee-b8a7-4cfd-b34f-43f723c1d20d','UId':'d050c1dd-2c58-4087-87f2-7bdf905130a9','Col':3,'Row':17,'Format':'string','Value':'','TargetCode':''}</v>
      </c>
    </row>
    <row r="222" spans="1:1">
      <c r="A222"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{'SheetId':'5ca8c4ee-b8a7-4cfd-b34f-43f723c1d20d','UId':'de88c083-4fdd-4aeb-a9ca-2390f8b3c4f0','Col':4,'Row':17,'Format':'numberic','Value':'0','TargetCode':''}</v>
      </c>
    </row>
    <row r="223" spans="1:1">
      <c r="A223"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{'SheetId':'5ca8c4ee-b8a7-4cfd-b34f-43f723c1d20d','UId':'9c0b055c-06c2-4503-a5ac-c163e67ff53a','Col':5,'Row':17,'Format':'numberic','Value':'0','TargetCode':''}</v>
      </c>
    </row>
    <row r="224" spans="1:1">
      <c r="A224"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{'SheetId':'5ca8c4ee-b8a7-4cfd-b34f-43f723c1d20d','UId':'8fceb95b-3c3d-48aa-9aa8-98d0c693533c','Col':3,'Row':18,'Format':'string','Value':'','TargetCode':''}</v>
      </c>
    </row>
    <row r="225" spans="1:1">
      <c r="A22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{'SheetId':'5ca8c4ee-b8a7-4cfd-b34f-43f723c1d20d','UId':'7e0c86ad-1373-4514-97f0-3faf75c2e507','Col':4,'Row':18,'Format':'numberic','Value':'0','TargetCode':''}</v>
      </c>
    </row>
    <row r="226" spans="1:1">
      <c r="A226"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{'SheetId':'5ca8c4ee-b8a7-4cfd-b34f-43f723c1d20d','UId':'5ea3f2c7-3d75-44f1-b59d-5df6d551fec3','Col':5,'Row':18,'Format':'numberic','Value':'0','TargetCode':''}</v>
      </c>
    </row>
    <row r="227" spans="1:1">
      <c r="A227"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{'SheetId':'5ca8c4ee-b8a7-4cfd-b34f-43f723c1d20d','UId':'16b2a550-fe9b-4e7d-bcc4-9ec82e1a4689','Col':3,'Row':19,'Format':'string','Value':'','TargetCode':''}</v>
      </c>
    </row>
    <row r="228" spans="1:1">
      <c r="A228"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{'SheetId':'5ca8c4ee-b8a7-4cfd-b34f-43f723c1d20d','UId':'85ea42a8-ca26-4290-9d4e-2f0ab7bece49','Col':4,'Row':19,'Format':'numberic','Value':'0','TargetCode':''}</v>
      </c>
    </row>
    <row r="229" spans="1:1">
      <c r="A229"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{'SheetId':'5ca8c4ee-b8a7-4cfd-b34f-43f723c1d20d','UId':'c4fb93a1-170b-4107-8cab-166c1784e730','Col':5,'Row':19,'Format':'numberic','Value':'0','TargetCode':''}</v>
      </c>
    </row>
    <row r="230" spans="1:1">
      <c r="A230"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{'SheetId':'5ca8c4ee-b8a7-4cfd-b34f-43f723c1d20d','UId':'acdb501b-8dd2-4aa6-9a1d-aa6fba8f66e1','Col':3,'Row':20,'Format':'string','Value':'','TargetCode':''}</v>
      </c>
    </row>
    <row r="231" spans="1:1">
      <c r="A231"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232" spans="1:1">
      <c r="A232"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233" spans="1:1">
      <c r="A233"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{'SheetId':'5ca8c4ee-b8a7-4cfd-b34f-43f723c1d20d','UId':'d2bd03f5-5621-4a7e-adc9-73d110f1e1bb','Col':3,'Row':21,'Format':'string','Value':'','TargetCode':''}</v>
      </c>
    </row>
    <row r="234" spans="1:1">
      <c r="A234"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{'SheetId':'5ca8c4ee-b8a7-4cfd-b34f-43f723c1d20d','UId':'777314ed-8433-47f6-beca-a90b2ea3bb0c','Col':4,'Row':21,'Format':'numberic','Value':'0','TargetCode':''}</v>
      </c>
    </row>
    <row r="235" spans="1:1">
      <c r="A23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{'SheetId':'5ca8c4ee-b8a7-4cfd-b34f-43f723c1d20d','UId':'988cf667-ab49-40bb-b00d-b6a104a6f85d','Col':5,'Row':21,'Format':'numberic','Value':'0','TargetCode':''}</v>
      </c>
    </row>
    <row r="236" spans="1:1">
      <c r="A236"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{'SheetId':'5ca8c4ee-b8a7-4cfd-b34f-43f723c1d20d','UId':'626fa20e-c8e0-4a49-bb15-b611ed66d690','Col':3,'Row':22,'Format':'string','Value':'','TargetCode':''}</v>
      </c>
    </row>
    <row r="237" spans="1:1">
      <c r="A237"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{'SheetId':'5ca8c4ee-b8a7-4cfd-b34f-43f723c1d20d','UId':'3321c5ad-cc2a-40fc-afb1-061e80eedb2d','Col':4,'Row':22,'Format':'numberic','Value':'0','TargetCode':''}</v>
      </c>
    </row>
    <row r="238" spans="1:1">
      <c r="A238"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{'SheetId':'5ca8c4ee-b8a7-4cfd-b34f-43f723c1d20d','UId':'42e5236c-9363-47a8-b42b-5b4aa26dd159','Col':5,'Row':22,'Format':'numberic','Value':'0','TargetCode':''}</v>
      </c>
    </row>
    <row r="239" spans="1:1">
      <c r="A239"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{'SheetId':'5ca8c4ee-b8a7-4cfd-b34f-43f723c1d20d','UId':'b2ddc811-de81-4421-b6e9-e6e0aafee633','Col':3,'Row':23,'Format':'string','Value':'','TargetCode':''}</v>
      </c>
    </row>
    <row r="240" spans="1:1">
      <c r="A240"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{'SheetId':'5ca8c4ee-b8a7-4cfd-b34f-43f723c1d20d','UId':'ca58cbba-98b3-49a4-9da9-393869356c26','Col':4,'Row':23,'Format':'numberic','Value':'265760000','TargetCode':''}</v>
      </c>
    </row>
    <row r="241" spans="1:1">
      <c r="A241"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{'SheetId':'5ca8c4ee-b8a7-4cfd-b34f-43f723c1d20d','UId':'ba14a456-c472-4698-ac5e-238c3081cf55','Col':5,'Row':23,'Format':'numberic','Value':'4434857881','TargetCode':''}</v>
      </c>
    </row>
    <row r="242" spans="1:1">
      <c r="A242"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{'SheetId':'5ca8c4ee-b8a7-4cfd-b34f-43f723c1d20d','UId':'e9559566-5b34-4c2b-b78c-e87999a48afc','Col':3,'Row':24,'Format':'string','Value':'','TargetCode':''}</v>
      </c>
    </row>
    <row r="243" spans="1:1">
      <c r="A243"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{'SheetId':'5ca8c4ee-b8a7-4cfd-b34f-43f723c1d20d','UId':'1cc19574-a596-49ed-abda-59329314ed5a','Col':4,'Row':24,'Format':'numberic','Value':'0','TargetCode':''}</v>
      </c>
    </row>
    <row r="244" spans="1:1">
      <c r="A244"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{'SheetId':'5ca8c4ee-b8a7-4cfd-b34f-43f723c1d20d','UId':'078568e9-620f-436b-bc66-ca4eaa29bcd7','Col':5,'Row':24,'Format':'numberic','Value':'3654928380','TargetCode':''}</v>
      </c>
    </row>
    <row r="245" spans="1:1">
      <c r="A24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{'SheetId':'5ca8c4ee-b8a7-4cfd-b34f-43f723c1d20d','UId':'f399e73b-8932-4052-af2c-60430a24d9a4','Col':3,'Row':25,'Format':'string','Value':'','TargetCode':''}</v>
      </c>
    </row>
    <row r="246" spans="1:1">
      <c r="A246"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{'SheetId':'5ca8c4ee-b8a7-4cfd-b34f-43f723c1d20d','UId':'9084a6ca-8099-40ed-ae15-d176f5575c78','Col':4,'Row':25,'Format':'numberic','Value':'0','TargetCode':''}</v>
      </c>
    </row>
    <row r="247" spans="1:1">
      <c r="A247"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{'SheetId':'5ca8c4ee-b8a7-4cfd-b34f-43f723c1d20d','UId':'2b8654a5-fa3a-47e2-b6aa-d98b3ab50717','Col':5,'Row':25,'Format':'numberic','Value':'0','TargetCode':''}</v>
      </c>
    </row>
    <row r="248" spans="1:1">
      <c r="A248"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{'SheetId':'5ca8c4ee-b8a7-4cfd-b34f-43f723c1d20d','UId':'2621a98e-b5b9-4b86-9345-1bc31102a122','Col':3,'Row':26,'Format':'string','Value':'','TargetCode':''}</v>
      </c>
    </row>
    <row r="249" spans="1:1">
      <c r="A249"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{'SheetId':'5ca8c4ee-b8a7-4cfd-b34f-43f723c1d20d','UId':'46e43a64-dfba-43ba-b9bf-ecc5f455b6ba','Col':4,'Row':26,'Format':'numberic','Value':'265760000','TargetCode':''}</v>
      </c>
    </row>
    <row r="250" spans="1:1">
      <c r="A250"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{'SheetId':'5ca8c4ee-b8a7-4cfd-b34f-43f723c1d20d','UId':'dcd217af-892e-4c67-b714-3319381669b6','Col':5,'Row':26,'Format':'numberic','Value':'55104000','TargetCode':''}</v>
      </c>
    </row>
    <row r="251" spans="1:1">
      <c r="A251"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{'SheetId':'5ca8c4ee-b8a7-4cfd-b34f-43f723c1d20d','UId':'24f15ee5-1c58-4e36-8ed6-9bbf681292f1','Col':3,'Row':27,'Format':'string','Value':'','TargetCode':''}</v>
      </c>
    </row>
    <row r="252" spans="1:1">
      <c r="A252"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{'SheetId':'5ca8c4ee-b8a7-4cfd-b34f-43f723c1d20d','UId':'f0778966-a99c-4665-b139-914f0259e878','Col':4,'Row':27,'Format':'numberic','Value':'0','TargetCode':''}</v>
      </c>
    </row>
    <row r="253" spans="1:1">
      <c r="A253"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{'SheetId':'5ca8c4ee-b8a7-4cfd-b34f-43f723c1d20d','UId':'c30cedec-5164-4afb-80a6-60bab974327e','Col':5,'Row':27,'Format':'numberic','Value':'0','TargetCode':''}</v>
      </c>
    </row>
    <row r="254" spans="1:1">
      <c r="A254"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{'SheetId':'5ca8c4ee-b8a7-4cfd-b34f-43f723c1d20d','UId':'1fda622d-188d-47be-93f1-33ff2dabe2e4','Col':3,'Row':28,'Format':'string','Value':'','TargetCode':''}</v>
      </c>
    </row>
    <row r="255" spans="1:1">
      <c r="A25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{'SheetId':'5ca8c4ee-b8a7-4cfd-b34f-43f723c1d20d','UId':'f5903d18-a6f2-4e64-b1bc-f205ca12ab6e','Col':4,'Row':28,'Format':'numberic','Value':'0','TargetCode':''}</v>
      </c>
    </row>
    <row r="256" spans="1:1">
      <c r="A256"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{'SheetId':'5ca8c4ee-b8a7-4cfd-b34f-43f723c1d20d','UId':'2770d90b-1e87-40ec-b31b-002655263523','Col':5,'Row':28,'Format':'numberic','Value':'0','TargetCode':''}</v>
      </c>
    </row>
    <row r="257" spans="1:1">
      <c r="A257"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{'SheetId':'5ca8c4ee-b8a7-4cfd-b34f-43f723c1d20d','UId':'39614021-0dad-451b-9f4b-a02ee2feca3b','Col':3,'Row':29,'Format':'string','Value':'','TargetCode':''}</v>
      </c>
    </row>
    <row r="258" spans="1:1">
      <c r="A258"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{'SheetId':'5ca8c4ee-b8a7-4cfd-b34f-43f723c1d20d','UId':'0cb41851-570e-445c-ad6c-14a8d02aaf12','Col':4,'Row':29,'Format':'numberic','Value':'0','TargetCode':''}</v>
      </c>
    </row>
    <row r="259" spans="1:1">
      <c r="A259"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{'SheetId':'5ca8c4ee-b8a7-4cfd-b34f-43f723c1d20d','UId':'69517419-315f-4faf-8a12-3ff114244cb7','Col':5,'Row':29,'Format':'numberic','Value':'0','TargetCode':''}</v>
      </c>
    </row>
    <row r="260" spans="1:1">
      <c r="A260"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{'SheetId':'5ca8c4ee-b8a7-4cfd-b34f-43f723c1d20d','UId':'559575e2-8c12-4028-b00e-a24da93ec358','Col':3,'Row':30,'Format':'string','Value':'','TargetCode':''}</v>
      </c>
    </row>
    <row r="261" spans="1:1">
      <c r="A261"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{'SheetId':'5ca8c4ee-b8a7-4cfd-b34f-43f723c1d20d','UId':'f2d74e95-7333-4626-93ee-94cf504fa2a9','Col':4,'Row':30,'Format':'numberic','Value':'0','TargetCode':''}</v>
      </c>
    </row>
    <row r="262" spans="1:1">
      <c r="A262"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{'SheetId':'5ca8c4ee-b8a7-4cfd-b34f-43f723c1d20d','UId':'24ce480c-7a68-4534-b2b8-2ab01fb7aba9','Col':5,'Row':30,'Format':'numberic','Value':'0','TargetCode':''}</v>
      </c>
    </row>
    <row r="263" spans="1:1">
      <c r="A263"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{'SheetId':'5ca8c4ee-b8a7-4cfd-b34f-43f723c1d20d','UId':'be64ad04-78ab-4d85-8306-86704ba8a64c','Col':3,'Row':31,'Format':'string','Value':'','TargetCode':''}</v>
      </c>
    </row>
    <row r="264" spans="1:1">
      <c r="A264"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{'SheetId':'5ca8c4ee-b8a7-4cfd-b34f-43f723c1d20d','UId':'0f673f5b-d298-4fa6-9f0f-e67176ddba22','Col':4,'Row':31,'Format':'numberic','Value':'0','TargetCode':''}</v>
      </c>
    </row>
    <row r="265" spans="1:1">
      <c r="A26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{'SheetId':'5ca8c4ee-b8a7-4cfd-b34f-43f723c1d20d','UId':'bc170c99-f1f0-4594-85a5-ab7842a61335','Col':5,'Row':31,'Format':'numberic','Value':'0','TargetCode':''}</v>
      </c>
    </row>
    <row r="266" spans="1:1">
      <c r="A266"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{'SheetId':'5ca8c4ee-b8a7-4cfd-b34f-43f723c1d20d','UId':'6bf11537-bf9f-40d7-b697-6546e9c9e734','Col':3,'Row':32,'Format':'string','Value':'','TargetCode':''}</v>
      </c>
    </row>
    <row r="267" spans="1:1">
      <c r="A267"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{'SheetId':'5ca8c4ee-b8a7-4cfd-b34f-43f723c1d20d','UId':'b8785e29-9136-4539-8226-cf7bab199882','Col':4,'Row':32,'Format':'numberic','Value':'0','TargetCode':''}</v>
      </c>
    </row>
    <row r="268" spans="1:1">
      <c r="A268"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{'SheetId':'5ca8c4ee-b8a7-4cfd-b34f-43f723c1d20d','UId':'0aeca7d7-2111-4c3a-bf20-653a0ba13291','Col':5,'Row':32,'Format':'numberic','Value':'0','TargetCode':''}</v>
      </c>
    </row>
    <row r="269" spans="1:1">
      <c r="A269"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{'SheetId':'5ca8c4ee-b8a7-4cfd-b34f-43f723c1d20d','UId':'77bddd50-ffb4-4706-981b-a256dd129d5c','Col':3,'Row':33,'Format':'string','Value':'','TargetCode':''}</v>
      </c>
    </row>
    <row r="270" spans="1:1">
      <c r="A270"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{'SheetId':'5ca8c4ee-b8a7-4cfd-b34f-43f723c1d20d','UId':'776d4786-e924-4c37-8989-758787a84a73','Col':4,'Row':33,'Format':'numberic','Value':'0','TargetCode':''}</v>
      </c>
    </row>
    <row r="271" spans="1:1">
      <c r="A271"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{'SheetId':'5ca8c4ee-b8a7-4cfd-b34f-43f723c1d20d','UId':'c5085a09-0f8c-43d3-bc0b-15199ce12055','Col':5,'Row':33,'Format':'numberic','Value':'0','TargetCode':''}</v>
      </c>
    </row>
    <row r="272" spans="1:1">
      <c r="A272"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{'SheetId':'5ca8c4ee-b8a7-4cfd-b34f-43f723c1d20d','UId':'dad048e0-4c6c-4070-a5b3-d9b5c0c10c90','Col':3,'Row':34,'Format':'string','Value':'','TargetCode':''}</v>
      </c>
    </row>
    <row r="273" spans="1:1">
      <c r="A273"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{'SheetId':'5ca8c4ee-b8a7-4cfd-b34f-43f723c1d20d','UId':'b4372668-0a1e-41fc-9997-88d70fbd3f1c','Col':4,'Row':34,'Format':'numberic','Value':'265760000','TargetCode':''}</v>
      </c>
    </row>
    <row r="274" spans="1:1">
      <c r="A274"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{'SheetId':'5ca8c4ee-b8a7-4cfd-b34f-43f723c1d20d','UId':'b3e6f0f8-39ef-4244-88ea-6cc64ad3a9c2','Col':5,'Row':34,'Format':'numberic','Value':'55104000','TargetCode':''}</v>
      </c>
    </row>
    <row r="275" spans="1:1">
      <c r="A27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{'SheetId':'5ca8c4ee-b8a7-4cfd-b34f-43f723c1d20d','UId':'410563df-1cad-4a09-bfb8-2ef0ebf30467','Col':3,'Row':35,'Format':'string','Value':'','TargetCode':''}</v>
      </c>
    </row>
    <row r="276" spans="1:1">
      <c r="A276"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{'SheetId':'5ca8c4ee-b8a7-4cfd-b34f-43f723c1d20d','UId':'6eed3484-d4bc-4f35-804c-f9afc0b337cd','Col':4,'Row':35,'Format':'numberic','Value':'265760000','TargetCode':''}</v>
      </c>
    </row>
    <row r="277" spans="1:1">
      <c r="A277"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{'SheetId':'5ca8c4ee-b8a7-4cfd-b34f-43f723c1d20d','UId':'2d51cac2-506a-4398-9cfc-abf8e8ec2009','Col':5,'Row':35,'Format':'numberic','Value':'55104000','TargetCode':''}</v>
      </c>
    </row>
    <row r="278" spans="1:1">
      <c r="A278"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{'SheetId':'5ca8c4ee-b8a7-4cfd-b34f-43f723c1d20d','UId':'7a2b6b8d-b62e-4582-8262-1d63c3b7c83f','Col':3,'Row':36,'Format':'string','Value':'','TargetCode':''}</v>
      </c>
    </row>
    <row r="279" spans="1:1">
      <c r="A279"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{'SheetId':'5ca8c4ee-b8a7-4cfd-b34f-43f723c1d20d','UId':'9e7fc8c4-7116-4248-bf32-6812d8d17884','Col':4,'Row':36,'Format':'numberic','Value':'0','TargetCode':''}</v>
      </c>
    </row>
    <row r="280" spans="1:1">
      <c r="A280"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{'SheetId':'5ca8c4ee-b8a7-4cfd-b34f-43f723c1d20d','UId':'3478b069-834b-4dae-9394-003d07b0c62e','Col':5,'Row':36,'Format':'numberic','Value':'0','TargetCode':''}</v>
      </c>
    </row>
    <row r="281" spans="1:1">
      <c r="A281"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{'SheetId':'5ca8c4ee-b8a7-4cfd-b34f-43f723c1d20d','UId':'29ce7101-bc4e-4d04-a8f5-cb7d51ed8ad8','Col':3,'Row':37,'Format':'string','Value':'','TargetCode':''}</v>
      </c>
    </row>
    <row r="282" spans="1:1">
      <c r="A282"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{'SheetId':'5ca8c4ee-b8a7-4cfd-b34f-43f723c1d20d','UId':'17a56b92-c365-41d8-89ea-786c171e3ec2','Col':4,'Row':37,'Format':'numberic','Value':'0','TargetCode':''}</v>
      </c>
    </row>
    <row r="283" spans="1:1">
      <c r="A283"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{'SheetId':'5ca8c4ee-b8a7-4cfd-b34f-43f723c1d20d','UId':'789be0a9-2df4-45c3-b6c1-7ca2f80cd015','Col':5,'Row':37,'Format':'numberic','Value':'0','TargetCode':''}</v>
      </c>
    </row>
    <row r="284" spans="1:1">
      <c r="A284"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{'SheetId':'5ca8c4ee-b8a7-4cfd-b34f-43f723c1d20d','UId':'fdc9a561-e4a9-4feb-83b7-c405d857615c','Col':3,'Row':38,'Format':'string','Value':'','TargetCode':''}</v>
      </c>
    </row>
    <row r="285" spans="1:1">
      <c r="A28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{'SheetId':'5ca8c4ee-b8a7-4cfd-b34f-43f723c1d20d','UId':'64548593-35e3-4ccf-9736-13141cd4a9c4','Col':4,'Row':38,'Format':'numberic','Value':'0','TargetCode':''}</v>
      </c>
    </row>
    <row r="286" spans="1:1">
      <c r="A286"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{'SheetId':'5ca8c4ee-b8a7-4cfd-b34f-43f723c1d20d','UId':'f019a5a0-823b-444f-810a-e9077da9e98e','Col':5,'Row':38,'Format':'numberic','Value':'0','TargetCode':''}</v>
      </c>
    </row>
    <row r="287" spans="1:1">
      <c r="A287"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{'SheetId':'5ca8c4ee-b8a7-4cfd-b34f-43f723c1d20d','UId':'c15ad083-71d4-4998-a84f-9cb6e4bfb4cd','Col':3,'Row':39,'Format':'string','Value':'','TargetCode':''}</v>
      </c>
    </row>
    <row r="288" spans="1:1">
      <c r="A288"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{'SheetId':'5ca8c4ee-b8a7-4cfd-b34f-43f723c1d20d','UId':'f4c59817-64fd-4c21-bf81-9d5d241629b9','Col':4,'Row':39,'Format':'numberic','Value':'0','TargetCode':''}</v>
      </c>
    </row>
    <row r="289" spans="1:1">
      <c r="A289"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{'SheetId':'5ca8c4ee-b8a7-4cfd-b34f-43f723c1d20d','UId':'185b24e7-28df-4fbe-ae69-ced65e6de3bc','Col':5,'Row':39,'Format':'numberic','Value':'0','TargetCode':''}</v>
      </c>
    </row>
    <row r="290" spans="1:1">
      <c r="A290"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{'SheetId':'5ca8c4ee-b8a7-4cfd-b34f-43f723c1d20d','UId':'a86c3edb-607f-4689-83a3-8fb88aaad554','Col':3,'Row':40,'Format':'string','Value':'','TargetCode':''}</v>
      </c>
    </row>
    <row r="291" spans="1:1">
      <c r="A291"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92" spans="1:1">
      <c r="A292"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93" spans="1:1">
      <c r="A293"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{'SheetId':'5ca8c4ee-b8a7-4cfd-b34f-43f723c1d20d','UId':'15d71251-b4db-4de3-88d7-b363aa1575ff','Col':3,'Row':41,'Format':'string','Value':'','TargetCode':''}</v>
      </c>
    </row>
    <row r="294" spans="1:1">
      <c r="A294"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{'SheetId':'5ca8c4ee-b8a7-4cfd-b34f-43f723c1d20d','UId':'eea1d971-324e-4887-9409-9540105158f4','Col':4,'Row':41,'Format':'numberic','Value':'0','TargetCode':''}</v>
      </c>
    </row>
    <row r="295" spans="1:1">
      <c r="A29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{'SheetId':'5ca8c4ee-b8a7-4cfd-b34f-43f723c1d20d','UId':'d496fd68-710c-4f26-bb81-e4e1e2b58bf9','Col':5,'Row':41,'Format':'numberic','Value':'724825501','TargetCode':''}</v>
      </c>
    </row>
    <row r="296" spans="1:1">
      <c r="A296"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{'SheetId':'5ca8c4ee-b8a7-4cfd-b34f-43f723c1d20d','UId':'a852af54-bc30-4635-920a-fb6196f1be5e','Col':3,'Row':42,'Format':'string','Value':'','TargetCode':''}</v>
      </c>
    </row>
    <row r="297" spans="1:1">
      <c r="A297"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98" spans="1:1">
      <c r="A298"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99" spans="1:1">
      <c r="A299"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{'SheetId':'5ca8c4ee-b8a7-4cfd-b34f-43f723c1d20d','UId':'6bde1cba-869d-4eec-8254-3b2f041cbf22','Col':3,'Row':43,'Format':'string','Value':'','TargetCode':''}</v>
      </c>
    </row>
    <row r="300" spans="1:1">
      <c r="A300"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301" spans="1:1">
      <c r="A301"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{'SheetId':'5ca8c4ee-b8a7-4cfd-b34f-43f723c1d20d','UId':'c14f731d-6f1d-47bf-96c0-febcef8c1d8b','Col':5,'Row':43,'Format':'numberic','Value':'724825501','TargetCode':''}</v>
      </c>
    </row>
    <row r="302" spans="1:1">
      <c r="A302"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{'SheetId':'5ca8c4ee-b8a7-4cfd-b34f-43f723c1d20d','UId':'ac771148-2a2e-4064-8448-229676bb2f77','Col':3,'Row':44,'Format':'string','Value':'','TargetCode':''}</v>
      </c>
    </row>
    <row r="303" spans="1:1">
      <c r="A303"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304" spans="1:1">
      <c r="A304"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305" spans="1:1">
      <c r="A30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306" spans="1:1">
      <c r="A306"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{'SheetId':'5ca8c4ee-b8a7-4cfd-b34f-43f723c1d20d','UId':'7dc47f22-2d30-4a5a-93c4-26a99906115b','Col':4,'Row':45,'Format':'numberic','Value':'0','TargetCode':''}</v>
      </c>
    </row>
    <row r="307" spans="1:1">
      <c r="A307"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{'SheetId':'5ca8c4ee-b8a7-4cfd-b34f-43f723c1d20d','UId':'1c11c533-0f17-40eb-9f14-5cf55fdb9d98','Col':5,'Row':45,'Format':'numberic','Value':'0','TargetCode':''}</v>
      </c>
    </row>
    <row r="308" spans="1:1">
      <c r="A308"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309" spans="1:1">
      <c r="A309"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310" spans="1:1">
      <c r="A310"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311" spans="1:1">
      <c r="A311"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312" spans="1:1">
      <c r="A312"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313" spans="1:1">
      <c r="A313"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314" spans="1:1">
      <c r="A314"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315" spans="1:1">
      <c r="A31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316" spans="1:1">
      <c r="A316"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317" spans="1:1">
      <c r="A317"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318" spans="1:1">
      <c r="A318"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319" spans="1:1">
      <c r="A319"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320" spans="1:1">
      <c r="A320"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321" spans="1:1">
      <c r="A321"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322" spans="1:1">
      <c r="A322"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323" spans="1:1">
      <c r="A323"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324" spans="1:1">
      <c r="A324"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325" spans="1:1">
      <c r="A32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326" spans="1:1">
      <c r="A326"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327" spans="1:1">
      <c r="A327"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328" spans="1:1">
      <c r="A328"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329" spans="1:1">
      <c r="A329"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330" spans="1:1">
      <c r="A330"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331" spans="1:1">
      <c r="A331"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332" spans="1:1">
      <c r="A332"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333" spans="1:1">
      <c r="A333"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334" spans="1:1">
      <c r="A334"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335" spans="1:1">
      <c r="A33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336" spans="1:1">
      <c r="A336"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337" spans="1:1">
      <c r="A337"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338" spans="1:1">
      <c r="A338"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339" spans="1:1">
      <c r="A339"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340" spans="1:1">
      <c r="A340"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341" spans="1:1">
      <c r="A341"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342" spans="1:1">
      <c r="A342"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343" spans="1:1">
      <c r="A343"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344" spans="1:1">
      <c r="A344"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345" spans="1:1">
      <c r="A34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346" spans="1:1">
      <c r="A346"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347" spans="1:1">
      <c r="A347"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348" spans="1:1">
      <c r="A348"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349" spans="1:1">
      <c r="A349"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350" spans="1:1">
      <c r="A350"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351" spans="1:1">
      <c r="A351"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352" spans="1:1">
      <c r="A352"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353" spans="1:1">
      <c r="A353"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354" spans="1:1">
      <c r="A354"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355" spans="1:1">
      <c r="A35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356" spans="1:1">
      <c r="A356"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357" spans="1:1">
      <c r="A357"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358" spans="1:1">
      <c r="A358"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359" spans="1:1">
      <c r="A359"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360" spans="1:1">
      <c r="A360"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361" spans="1:1">
      <c r="A361"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362" spans="1:1">
      <c r="A362"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363" spans="1:1">
      <c r="A363"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364" spans="1:1">
      <c r="A364"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365" spans="1:1">
      <c r="A36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366" spans="1:1">
      <c r="A366"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367" spans="1:1">
      <c r="A367"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368" spans="1:1">
      <c r="A368"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369" spans="1:1">
      <c r="A369"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70" spans="1:1">
      <c r="A370"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71" spans="1:1">
      <c r="A371"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72" spans="1:1">
      <c r="A372"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73" spans="1:1">
      <c r="A373"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74" spans="1:1">
      <c r="A374"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75" spans="1:1">
      <c r="A37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76" spans="1:1">
      <c r="A376"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77" spans="1:1">
      <c r="A377"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78" spans="1:1">
      <c r="A378"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79" spans="1:1">
      <c r="A379"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80" spans="1:1">
      <c r="A380"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81" spans="1:1">
      <c r="A381"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82" spans="1:1">
      <c r="A382"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83" spans="1:1">
      <c r="A383"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84" spans="1:1">
      <c r="A384"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85" spans="1:1">
      <c r="A38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86" spans="1:1">
      <c r="A386"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87" spans="1:1">
      <c r="A387"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88" spans="1:1">
      <c r="A388"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89" spans="1:1">
      <c r="A389"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90" spans="1:1">
      <c r="A390"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91" spans="1:1">
      <c r="A391"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92" spans="1:1">
      <c r="A392"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93" spans="1:1">
      <c r="A393"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94" spans="1:1">
      <c r="A394"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95" spans="1:1">
      <c r="A39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96" spans="1:1">
      <c r="A396"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97" spans="1:1">
      <c r="A397"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98" spans="1:1">
      <c r="A398"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99" spans="1:1">
      <c r="A399"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400" spans="1:1">
      <c r="A400"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401" spans="1:1">
      <c r="A401" t="str">
        <f>CONCATENATE("{'SheetId':'cc406fba-8c30-4081-be82-2550c22e6d74'",",","'UId':'79357f94-95f3-4054-9e09-d7eb32a09556'",",'Col':",COLUMN(GTTSRong_06107!E3),",'Row':",ROW(GTTSRong_06107!E3),",","'Format':'numberic'",",'Value':'",SUBSTITUTE(GTTSRong_06107!E3,"'","\'"),"','TargetCode':''}")</f>
        <v>{'SheetId':'cc406fba-8c30-4081-be82-2550c22e6d74','UId':'79357f94-95f3-4054-9e09-d7eb32a09556','Col':5,'Row':3,'Format':'numberic','Value':'41676627745','TargetCode':''}</v>
      </c>
    </row>
    <row r="402" spans="1:1">
      <c r="A402" t="str">
        <f>CONCATENATE("{'SheetId':'cc406fba-8c30-4081-be82-2550c22e6d74'",",","'UId':'a6dcd0ad-4b54-4a2d-b8ce-1c1a75847de7'",",'Col':",COLUMN(GTTSRong_06107!F3),",'Row':",ROW(GTTSRong_06107!F3),",","'Format':'numberic'",",'Value':'",SUBSTITUTE(GTTSRong_06107!F3,"'","\'"),"','TargetCode':''}")</f>
        <v>{'SheetId':'cc406fba-8c30-4081-be82-2550c22e6d74','UId':'a6dcd0ad-4b54-4a2d-b8ce-1c1a75847de7','Col':6,'Row':3,'Format':'numberic','Value':'-11554846096','TargetCode':''}</v>
      </c>
    </row>
    <row r="403" spans="1:1">
      <c r="A403" t="str">
        <f>CONCATENATE("{'SheetId':'cc406fba-8c30-4081-be82-2550c22e6d74'",",","'UId':'28d8656d-5755-4bd7-8f0d-afa52274ec2c'",",'Col':",COLUMN(GTTSRong_06107!E4),",'Row':",ROW(GTTSRong_06107!E4),",","'Format':'numberic'",",'Value':'",SUBSTITUTE(GTTSRong_06107!E4,"'","\'"),"','TargetCode':''}")</f>
        <v>{'SheetId':'cc406fba-8c30-4081-be82-2550c22e6d74','UId':'28d8656d-5755-4bd7-8f0d-afa52274ec2c','Col':5,'Row':4,'Format':'numberic','Value':'41676627745','TargetCode':''}</v>
      </c>
    </row>
    <row r="404" spans="1:1">
      <c r="A404" t="str">
        <f>CONCATENATE("{'SheetId':'cc406fba-8c30-4081-be82-2550c22e6d74'",",","'UId':'8ecb6551-e32d-44d4-82f1-eeb2ea295e18'",",'Col':",COLUMN(GTTSRong_06107!F4),",'Row':",ROW(GTTSRong_06107!F4),",","'Format':'numberic'",",'Value':'",SUBSTITUTE(GTTSRong_06107!F4,"'","\'"),"','TargetCode':''}")</f>
        <v>{'SheetId':'cc406fba-8c30-4081-be82-2550c22e6d74','UId':'8ecb6551-e32d-44d4-82f1-eeb2ea295e18','Col':6,'Row':4,'Format':'numberic','Value':'-11554846096','TargetCode':''}</v>
      </c>
    </row>
    <row r="405" spans="1:1">
      <c r="A405" t="str">
        <f>CONCATENATE("{'SheetId':'cc406fba-8c30-4081-be82-2550c22e6d74'",",","'UId':'9eead62f-62bf-4f0d-9aec-bca2396ddc4f'",",'Col':",COLUMN(GTTSRong_06107!E5),",'Row':",ROW(GTTSRong_06107!E5),",","'Format':'numberic'",",'Value':'",SUBSTITUTE(GTTSRong_06107!E5,"'","\'"),"','TargetCode':''}")</f>
        <v>{'SheetId':'cc406fba-8c30-4081-be82-2550c22e6d74','UId':'9eead62f-62bf-4f0d-9aec-bca2396ddc4f','Col':5,'Row':5,'Format':'numberic','Value':'0','TargetCode':''}</v>
      </c>
    </row>
    <row r="406" spans="1:1">
      <c r="A406" t="str">
        <f>CONCATENATE("{'SheetId':'cc406fba-8c30-4081-be82-2550c22e6d74'",",","'UId':'2455cfd2-f1e7-43be-8ca0-b39729692257'",",'Col':",COLUMN(GTTSRong_06107!F5),",'Row':",ROW(GTTSRong_06107!F5),",","'Format':'numberic'",",'Value':'",SUBSTITUTE(GTTSRong_06107!F5,"'","\'"),"','TargetCode':''}")</f>
        <v>{'SheetId':'cc406fba-8c30-4081-be82-2550c22e6d74','UId':'2455cfd2-f1e7-43be-8ca0-b39729692257','Col':6,'Row':5,'Format':'numberic','Value':'0','TargetCode':''}</v>
      </c>
    </row>
    <row r="407" spans="1:1">
      <c r="A407" t="str">
        <f>CONCATENATE("{'SheetId':'cc406fba-8c30-4081-be82-2550c22e6d74'",",","'UId':'796ec01d-1a83-4925-bb5b-b3997dcc946f'",",'Col':",COLUMN(GTTSRong_06107!E6),",'Row':",ROW(GTTSRong_06107!E6),",","'Format':'numberic'",",'Value':'",SUBSTITUTE(GTTSRong_06107!E6,"'","\'"),"','TargetCode':''}")</f>
        <v>{'SheetId':'cc406fba-8c30-4081-be82-2550c22e6d74','UId':'796ec01d-1a83-4925-bb5b-b3997dcc946f','Col':5,'Row':6,'Format':'numberic','Value':'272864052870','TargetCode':''}</v>
      </c>
    </row>
    <row r="408" spans="1:1">
      <c r="A408" t="str">
        <f>CONCATENATE("{'SheetId':'cc406fba-8c30-4081-be82-2550c22e6d74'",",","'UId':'cb92336c-ef1f-4956-af67-8db239266b79'",",'Col':",COLUMN(GTTSRong_06107!F6),",'Row':",ROW(GTTSRong_06107!F6),",","'Format':'numberic'",",'Value':'",SUBSTITUTE(GTTSRong_06107!F6,"'","\'"),"','TargetCode':''}")</f>
        <v>{'SheetId':'cc406fba-8c30-4081-be82-2550c22e6d74','UId':'cb92336c-ef1f-4956-af67-8db239266b79','Col':6,'Row':6,'Format':'numberic','Value':'-11030437030','TargetCode':''}</v>
      </c>
    </row>
    <row r="409" spans="1:1">
      <c r="A409" t="str">
        <f>CONCATENATE("{'SheetId':'cc406fba-8c30-4081-be82-2550c22e6d74'",",","'UId':'8f9c3797-85e9-4375-92ff-6feaa0e7b1b7'",",'Col':",COLUMN(GTTSRong_06107!E7),",'Row':",ROW(GTTSRong_06107!E7),",","'Format':'numberic'",",'Value':'",SUBSTITUTE(GTTSRong_06107!E7,"'","\'"),"','TargetCode':''}")</f>
        <v>{'SheetId':'cc406fba-8c30-4081-be82-2550c22e6d74','UId':'8f9c3797-85e9-4375-92ff-6feaa0e7b1b7','Col':5,'Row':7,'Format':'numberic','Value':'417332911827','TargetCode':''}</v>
      </c>
    </row>
    <row r="410" spans="1:1">
      <c r="A410" t="str">
        <f>CONCATENATE("{'SheetId':'cc406fba-8c30-4081-be82-2550c22e6d74'",",","'UId':'baa41148-c59f-4afa-a311-5d423c7a8cc2'",",'Col':",COLUMN(GTTSRong_06107!F7),",'Row':",ROW(GTTSRong_06107!F7),",","'Format':'numberic'",",'Value':'",SUBSTITUTE(GTTSRong_06107!F7,"'","\'"),"','TargetCode':''}")</f>
        <v>{'SheetId':'cc406fba-8c30-4081-be82-2550c22e6d74','UId':'baa41148-c59f-4afa-a311-5d423c7a8cc2','Col':6,'Row':7,'Format':'numberic','Value':'6355990295','TargetCode':''}</v>
      </c>
    </row>
    <row r="411" spans="1:1">
      <c r="A411" t="str">
        <f>CONCATENATE("{'SheetId':'cc406fba-8c30-4081-be82-2550c22e6d74'",",","'UId':'e32293a1-cd42-4d6b-b8f0-d25ffb5d0ae7'",",'Col':",COLUMN(GTTSRong_06107!E8),",'Row':",ROW(GTTSRong_06107!E8),",","'Format':'numberic'",",'Value':'",SUBSTITUTE(GTTSRong_06107!E8,"'","\'"),"','TargetCode':''}")</f>
        <v>{'SheetId':'cc406fba-8c30-4081-be82-2550c22e6d74','UId':'e32293a1-cd42-4d6b-b8f0-d25ffb5d0ae7','Col':5,'Row':8,'Format':'numberic','Value':'-144468858957','TargetCode':''}</v>
      </c>
    </row>
    <row r="412" spans="1:1">
      <c r="A412" t="str">
        <f>CONCATENATE("{'SheetId':'cc406fba-8c30-4081-be82-2550c22e6d74'",",","'UId':'f97009f8-4bb0-4fb7-b47b-9c05c01fa01a'",",'Col':",COLUMN(GTTSRong_06107!F8),",'Row':",ROW(GTTSRong_06107!F8),",","'Format':'numberic'",",'Value':'",SUBSTITUTE(GTTSRong_06107!F8,"'","\'"),"','TargetCode':''}")</f>
        <v>{'SheetId':'cc406fba-8c30-4081-be82-2550c22e6d74','UId':'f97009f8-4bb0-4fb7-b47b-9c05c01fa01a','Col':6,'Row':8,'Format':'numberic','Value':'-17386427325','TargetCode':''}</v>
      </c>
    </row>
    <row r="413" spans="1:1">
      <c r="A413" t="str">
        <f>CONCATENATE("{'SheetId':'cc406fba-8c30-4081-be82-2550c22e6d74'",",","'UId':'fe23dd0b-5e6f-4dca-b641-6dbc8be7cfb1'",",'Col':",COLUMN(GTTSRong_06107!E9),",'Row':",ROW(GTTSRong_06107!E9),",","'Format':'numberic'",",'Value':'",SUBSTITUTE(GTTSRong_06107!E9,"'","\'"),"','TargetCode':''}")</f>
        <v>{'SheetId':'cc406fba-8c30-4081-be82-2550c22e6d74','UId':'fe23dd0b-5e6f-4dca-b641-6dbc8be7cfb1','Col':5,'Row':9,'Format':'numberic','Value':'390556877939','TargetCode':''}</v>
      </c>
    </row>
    <row r="414" spans="1:1">
      <c r="A414" t="str">
        <f>CONCATENATE("{'SheetId':'cc406fba-8c30-4081-be82-2550c22e6d74'",",","'UId':'e633aa90-04ec-40bb-a2c0-2cf37e64cee5'",",'Col':",COLUMN(GTTSRong_06107!F9),",'Row':",ROW(GTTSRong_06107!F9),",","'Format':'numberic'",",'Value':'",SUBSTITUTE(GTTSRong_06107!F9,"'","\'"),"','TargetCode':''}")</f>
        <v>{'SheetId':'cc406fba-8c30-4081-be82-2550c22e6d74','UId':'e633aa90-04ec-40bb-a2c0-2cf37e64cee5','Col':6,'Row':9,'Format':'numberic','Value':'67470964079','TargetCode':''}</v>
      </c>
    </row>
    <row r="415" spans="1:1">
      <c r="A415" t="str">
        <f>CONCATENATE("{'SheetId':'cc406fba-8c30-4081-be82-2550c22e6d74'",",","'UId':'9cc15fb3-0906-4ba0-9f14-04672940aac5'",",'Col':",COLUMN(GTTSRong_06107!E10),",'Row':",ROW(GTTSRong_06107!E10),",","'Format':'numberic'",",'Value':'",SUBSTITUTE(GTTSRong_06107!E10,"'","\'"),"','TargetCode':''}")</f>
        <v>{'SheetId':'cc406fba-8c30-4081-be82-2550c22e6d74','UId':'9cc15fb3-0906-4ba0-9f14-04672940aac5','Col':5,'Row':10,'Format':'numberic','Value':'19788.19','TargetCode':''}</v>
      </c>
    </row>
    <row r="416" spans="1:1">
      <c r="A416" t="str">
        <f>CONCATENATE("{'SheetId':'cc406fba-8c30-4081-be82-2550c22e6d74'",",","'UId':'029ac059-4bb8-4227-ab12-af2619fd35a1'",",'Col':",COLUMN(GTTSRong_06107!F10),",'Row':",ROW(GTTSRong_06107!F10),",","'Format':'numberic'",",'Value':'",SUBSTITUTE(GTTSRong_06107!F10,"'","\'"),"','TargetCode':''}")</f>
        <v>{'SheetId':'cc406fba-8c30-4081-be82-2550c22e6d74','UId':'029ac059-4bb8-4227-ab12-af2619fd35a1','Col':6,'Row':10,'Format':'numberic','Value':'11494.05','TargetCode':''}</v>
      </c>
    </row>
    <row r="417" spans="1:1">
      <c r="A417" t="str">
        <f>CONCATENATE("{'SheetId':'97f94cc4-2cf1-490f-9992-d56edff2a48b'",",","'UId':'9527d31a-2431-4b10-95c6-18ad2fc2d441'",",'Col':",COLUMN(BCDMDT_06108!D3),",'Row':",ROW(BCDMDT_06108!D3),",","'Format':'numberic'",",'Value':'",SUBSTITUTE(BCDMDT_06108!D3,"'","\'"),"','TargetCode':''}")</f>
        <v>{'SheetId':'97f94cc4-2cf1-490f-9992-d56edff2a48b','UId':'9527d31a-2431-4b10-95c6-18ad2fc2d441','Col':4,'Row':3,'Format':'numberic','Value':'61300','TargetCode':''}</v>
      </c>
    </row>
    <row r="418" spans="1:1">
      <c r="A418" t="str">
        <f>CONCATENATE("{'SheetId':'97f94cc4-2cf1-490f-9992-d56edff2a48b'",",","'UId':'8622dc28-55e7-4778-90a8-1294b8070fef'",",'Col':",COLUMN(BCDMDT_06108!E3),",'Row':",ROW(BCDMDT_06108!E3),",","'Format':'numberic'",",'Value':'",SUBSTITUTE(BCDMDT_06108!E3,"'","\'"),"','TargetCode':''}")</f>
        <v>{'SheetId':'97f94cc4-2cf1-490f-9992-d56edff2a48b','UId':'8622dc28-55e7-4778-90a8-1294b8070fef','Col':5,'Row':3,'Format':'numberic','Value':'47250','TargetCode':''}</v>
      </c>
    </row>
    <row r="419" spans="1:1">
      <c r="A419" t="str">
        <f>CONCATENATE("{'SheetId':'97f94cc4-2cf1-490f-9992-d56edff2a48b'",",","'UId':'600a43c2-8817-4fb1-b07d-1489b8175a7c'",",'Col':",COLUMN(BCDMDT_06108!F3),",'Row':",ROW(BCDMDT_06108!F3),",","'Format':'numberic'",",'Value':'",SUBSTITUTE(BCDMDT_06108!F3,"'","\'"),"','TargetCode':''}")</f>
        <v>{'SheetId':'97f94cc4-2cf1-490f-9992-d56edff2a48b','UId':'600a43c2-8817-4fb1-b07d-1489b8175a7c','Col':6,'Row':3,'Format':'numberic','Value':'2896425000','TargetCode':''}</v>
      </c>
    </row>
    <row r="420" spans="1:1">
      <c r="A420" t="str">
        <f>CONCATENATE("{'SheetId':'97f94cc4-2cf1-490f-9992-d56edff2a48b'",",","'UId':'46f5d149-8c4c-49b7-b1ef-761dea9cd15b'",",'Col':",COLUMN(BCDMDT_06108!G3),",'Row':",ROW(BCDMDT_06108!G3),",","'Format':'numberic'",",'Value':'",SUBSTITUTE(BCDMDT_06108!G3,"'","\'"),"','TargetCode':''}")</f>
        <v>{'SheetId':'97f94cc4-2cf1-490f-9992-d56edff2a48b','UId':'46f5d149-8c4c-49b7-b1ef-761dea9cd15b','Col':7,'Row':3,'Format':'numberic','Value':'0.00714733966395163','TargetCode':''}</v>
      </c>
    </row>
    <row r="421" spans="1:1">
      <c r="A421" t="str">
        <f>CONCATENATE("{'SheetId':'97f94cc4-2cf1-490f-9992-d56edff2a48b'",",","'UId':'ed3c5ca2-2902-4770-b52f-0df19c6164f5'",",'Col':",COLUMN(BCDMDT_06108!A33),",'Row':",ROW(BCDMDT_06108!A33),",","'ColDynamic':",COLUMN(BCDMDT_06108!A4),",","'RowDynamic':",ROW(BCDMDT_06108!A4),",","'Format':'numberic'",",'Value':'",SUBSTITUTE(BCDMDT_06108!A33,"'","\'"),"','TargetCode':''}")</f>
        <v>{'SheetId':'97f94cc4-2cf1-490f-9992-d56edff2a48b','UId':'ed3c5ca2-2902-4770-b52f-0df19c6164f5','Col':1,'Row':33,'ColDynamic':1,'RowDynamic':4,'Format':'numberic','Value':'','TargetCode':''}</v>
      </c>
    </row>
    <row r="422" spans="1:1">
      <c r="A422" t="str">
        <f>CONCATENATE("{'SheetId':'97f94cc4-2cf1-490f-9992-d56edff2a48b'",",","'UId':'86c0546a-ca66-4b7c-ae89-4fc46b6ed456'",",'Col':",COLUMN(BCDMDT_06108!B33),",'Row':",ROW(BCDMDT_06108!B33),",","'ColDynamic':",COLUMN(BCDMDT_06108!B4),",","'RowDynamic':",ROW(BCDMDT_06108!B4),",","'Format':'string'",",'Value':'",SUBSTITUTE(BCDMDT_06108!B33,"'","\'"),"','TargetCode':''}")</f>
        <v>{'SheetId':'97f94cc4-2cf1-490f-9992-d56edff2a48b','UId':'86c0546a-ca66-4b7c-ae89-4fc46b6ed456','Col':2,'Row':33,'ColDynamic':2,'RowDynamic':4,'Format':'string','Value':'TỔNG
TOTAL','TargetCode':''}</v>
      </c>
    </row>
    <row r="423" spans="1:1">
      <c r="A423" t="str">
        <f>CONCATENATE("{'SheetId':'97f94cc4-2cf1-490f-9992-d56edff2a48b'",",","'UId':'5eecd5d1-f912-4152-84ab-e2bc7b20f384'",",'Col':",COLUMN(BCDMDT_06108!C33),",'Row':",ROW(BCDMDT_06108!C33),",","'ColDynamic':",COLUMN(BCDMDT_06108!C4),",","'RowDynamic':",ROW(BCDMDT_06108!C4),",","'Format':'numberic'",",'Value':'",SUBSTITUTE(BCDMDT_06108!C33,"'","\'"),"','TargetCode':''}")</f>
        <v>{'SheetId':'97f94cc4-2cf1-490f-9992-d56edff2a48b','UId':'5eecd5d1-f912-4152-84ab-e2bc7b20f384','Col':3,'Row':33,'ColDynamic':3,'RowDynamic':4,'Format':'numberic','Value':'4033','TargetCode':''}</v>
      </c>
    </row>
    <row r="424" spans="1:1">
      <c r="A424" t="str">
        <f>CONCATENATE("{'SheetId':'97f94cc4-2cf1-490f-9992-d56edff2a48b'",",","'UId':'26dc47da-cc71-48ec-a5eb-74f077c24238'",",'Col':",COLUMN(BCDMDT_06108!D33),",'Row':",ROW(BCDMDT_06108!D33),",","'ColDynamic':",COLUMN(BCDMDT_06108!D4),",","'RowDynamic':",ROW(BCDMDT_06108!D4),",","'Format':'numberic'",",'Value':'",SUBSTITUTE(BCDMDT_06108!D33,"'","\'"),"','TargetCode':''}")</f>
        <v>{'SheetId':'97f94cc4-2cf1-490f-9992-d56edff2a48b','UId':'26dc47da-cc71-48ec-a5eb-74f077c24238','Col':4,'Row':33,'ColDynamic':4,'RowDynamic':4,'Format':'numberic','Value':'0','TargetCode':''}</v>
      </c>
    </row>
    <row r="425" spans="1:1">
      <c r="A425" t="str">
        <f>CONCATENATE("{'SheetId':'97f94cc4-2cf1-490f-9992-d56edff2a48b'",",","'UId':'87a7237e-6799-4cf5-83a6-85dafd4e1a4b'",",'Col':",COLUMN(BCDMDT_06108!E33),",'Row':",ROW(BCDMDT_06108!E33),",","'ColDynamic':",COLUMN(BCDMDT_06108!E4),",","'RowDynamic':",ROW(BCDMDT_06108!E4),",","'Format':'numberic'",",'Value':'",SUBSTITUTE(BCDMDT_06108!E33,"'","\'"),"','TargetCode':''}")</f>
        <v>{'SheetId':'97f94cc4-2cf1-490f-9992-d56edff2a48b','UId':'87a7237e-6799-4cf5-83a6-85dafd4e1a4b','Col':5,'Row':33,'ColDynamic':5,'RowDynamic':4,'Format':'numberic','Value':'','TargetCode':''}</v>
      </c>
    </row>
    <row r="426" spans="1:1">
      <c r="A426" t="str">
        <f>CONCATENATE("{'SheetId':'97f94cc4-2cf1-490f-9992-d56edff2a48b'",",","'UId':'ddd66022-7315-4273-856e-5a771d38cba0'",",'Col':",COLUMN(BCDMDT_06108!F33),",'Row':",ROW(BCDMDT_06108!F33),",","'ColDynamic':",COLUMN(BCDMDT_06108!F4),",","'RowDynamic':",ROW(BCDMDT_06108!F4),",","'Format':'numberic'",",'Value':'",SUBSTITUTE(BCDMDT_06108!F33,"'","\'"),"','TargetCode':''}")</f>
        <v>{'SheetId':'97f94cc4-2cf1-490f-9992-d56edff2a48b','UId':'ddd66022-7315-4273-856e-5a771d38cba0','Col':6,'Row':33,'ColDynamic':6,'RowDynamic':4,'Format':'numberic','Value':'0','TargetCode':''}</v>
      </c>
    </row>
    <row r="427" spans="1:1">
      <c r="A427" t="str">
        <f>CONCATENATE("{'SheetId':'97f94cc4-2cf1-490f-9992-d56edff2a48b'",",","'UId':'97ee317b-4b7b-4686-89b0-a2bfc328450e'",",'Col':",COLUMN(BCDMDT_06108!G33),",'Row':",ROW(BCDMDT_06108!G33),",","'ColDynamic':",COLUMN(BCDMDT_06108!G4),",","'RowDynamic':",ROW(BCDMDT_06108!G4),",","'Format':'numberic'",",'Value':'",SUBSTITUTE(BCDMDT_06108!G33,"'","\'"),"','TargetCode':''}")</f>
        <v>{'SheetId':'97f94cc4-2cf1-490f-9992-d56edff2a48b','UId':'97ee317b-4b7b-4686-89b0-a2bfc328450e','Col':7,'Row':33,'ColDynamic':7,'RowDynamic':4,'Format':'numberic','Value':'0','TargetCode':''}</v>
      </c>
    </row>
    <row r="428" spans="1:1">
      <c r="A428" t="str">
        <f>CONCATENATE("{'SheetId':'97f94cc4-2cf1-490f-9992-d56edff2a48b'",",","'UId':'f1c9162d-ea12-4c03-8cdb-a1904c0cc1ab'",",'Col':",COLUMN(BCDMDT_06108!D34),",'Row':",ROW(BCDMDT_06108!D34),",","'Format':'numberic'",",'Value':'",SUBSTITUTE(BCDMDT_06108!D34,"'","\'"),"','TargetCode':''}")</f>
        <v>{'SheetId':'97f94cc4-2cf1-490f-9992-d56edff2a48b','UId':'f1c9162d-ea12-4c03-8cdb-a1904c0cc1ab','Col':4,'Row':34,'Format':'numberic','Value':'5826853','TargetCode':''}</v>
      </c>
    </row>
    <row r="429" spans="1:1">
      <c r="A429" t="str">
        <f>CONCATENATE("{'SheetId':'97f94cc4-2cf1-490f-9992-d56edff2a48b'",",","'UId':'937ec53f-6e47-476a-a546-e12495e2969d'",",'Col':",COLUMN(BCDMDT_06108!E34),",'Row':",ROW(BCDMDT_06108!E34),",","'Format':'numberic'",",'Value':'",SUBSTITUTE(BCDMDT_06108!E34,"'","\'"),"','TargetCode':''}")</f>
        <v>{'SheetId':'97f94cc4-2cf1-490f-9992-d56edff2a48b','UId':'937ec53f-6e47-476a-a546-e12495e2969d','Col':5,'Row':34,'Format':'numberic','Value':'','TargetCode':''}</v>
      </c>
    </row>
    <row r="430" spans="1:1">
      <c r="A430" t="str">
        <f>CONCATENATE("{'SheetId':'97f94cc4-2cf1-490f-9992-d56edff2a48b'",",","'UId':'6e88e443-12ff-44d1-af93-fca2df696276'",",'Col':",COLUMN(BCDMDT_06108!F34),",'Row':",ROW(BCDMDT_06108!F34),",","'Format':'numberic'",",'Value':'",SUBSTITUTE(BCDMDT_06108!F34,"'","\'"),"','TargetCode':''}")</f>
        <v>{'SheetId':'97f94cc4-2cf1-490f-9992-d56edff2a48b','UId':'6e88e443-12ff-44d1-af93-fca2df696276','Col':6,'Row':34,'Format':'numberic','Value':'366994580000','TargetCode':''}</v>
      </c>
    </row>
    <row r="431" spans="1:1">
      <c r="A431" t="str">
        <f>CONCATENATE("{'SheetId':'97f94cc4-2cf1-490f-9992-d56edff2a48b'",",","'UId':'ba0e82ea-c21c-4675-b750-90dfa12e0042'",",'Col':",COLUMN(BCDMDT_06108!G34),",'Row':",ROW(BCDMDT_06108!G34),",","'Format':'numberic'",",'Value':'",SUBSTITUTE(BCDMDT_06108!G34,"'","\'"),"','TargetCode':''}")</f>
        <v>{'SheetId':'97f94cc4-2cf1-490f-9992-d56edff2a48b','UId':'ba0e82ea-c21c-4675-b750-90dfa12e0042','Col':7,'Row':34,'Format':'numberic','Value':'0.905611199354124','TargetCode':''}</v>
      </c>
    </row>
    <row r="432" spans="1:1">
      <c r="A432" t="str">
        <f>CONCATENATE("{'SheetId':'97f94cc4-2cf1-490f-9992-d56edff2a48b'",",","'UId':'6f0f16af-6a9f-4072-9190-52f2b48c44a4'",",'Col':",COLUMN(BCDMDT_06108!A36),",'Row':",ROW(BCDMDT_06108!A36),",","'ColDynamic':",COLUMN(BCDMDT_06108!A37),",","'RowDynamic':",ROW(BCDMDT_06108!A37),",","'Format':'numberic'",",'Value':'",SUBSTITUTE(BCDMDT_06108!A36,"'","\'"),"','TargetCode':''}")</f>
        <v>{'SheetId':'97f94cc4-2cf1-490f-9992-d56edff2a48b','UId':'6f0f16af-6a9f-4072-9190-52f2b48c44a4','Col':1,'Row':36,'ColDynamic':1,'RowDynamic':37,'Format':'numberic','Value':'1','TargetCode':''}</v>
      </c>
    </row>
    <row r="433" spans="1:1">
      <c r="A433" t="str">
        <f>CONCATENATE("{'SheetId':'97f94cc4-2cf1-490f-9992-d56edff2a48b'",",","'UId':'8d2401e5-0267-4970-91aa-7be41c9e91ef'",",'Col':",COLUMN(BCDMDT_06108!B36),",'Row':",ROW(BCDMDT_06108!B36),",","'ColDynamic':",COLUMN(BCDMDT_06108!B37),",","'RowDynamic':",ROW(BCDMDT_06108!B37),",","'Format':'string'",",'Value':'",SUBSTITUTE(BCDMDT_06108!B36,"'","\'"),"','TargetCode':''}")</f>
        <v>{'SheetId':'97f94cc4-2cf1-490f-9992-d56edff2a48b','UId':'8d2401e5-0267-4970-91aa-7be41c9e91ef','Col':2,'Row':36,'ColDynamic':2,'RowDynamic':37,'Format':'string','Value':'Trái phiếu niêm yết
Listed bonds','TargetCode':''}</v>
      </c>
    </row>
    <row r="434" spans="1:1">
      <c r="A434" t="str">
        <f>CONCATENATE("{'SheetId':'97f94cc4-2cf1-490f-9992-d56edff2a48b'",",","'UId':'b8e4978f-6cd8-4c01-a5ed-cf4407e5dcf3'",",'Col':",COLUMN(BCDMDT_06108!C36),",'Row':",ROW(BCDMDT_06108!C36),",","'ColDynamic':",COLUMN(BCDMDT_06108!C37),",","'RowDynamic':",ROW(BCDMDT_06108!C37),",","'Format':'numberic'",",'Value':'",SUBSTITUTE(BCDMDT_06108!C36,"'","\'"),"','TargetCode':''}")</f>
        <v>{'SheetId':'97f94cc4-2cf1-490f-9992-d56edff2a48b','UId':'b8e4978f-6cd8-4c01-a5ed-cf4407e5dcf3','Col':3,'Row':36,'ColDynamic':3,'RowDynamic':37,'Format':'numberic','Value':'4035.1','TargetCode':''}</v>
      </c>
    </row>
    <row r="435" spans="1:1">
      <c r="A435" t="str">
        <f>CONCATENATE("{'SheetId':'97f94cc4-2cf1-490f-9992-d56edff2a48b'",",","'UId':'0dda764f-f1ad-46a4-8c30-01732ca173c1'",",'Col':",COLUMN(BCDMDT_06108!D36),",'Row':",ROW(BCDMDT_06108!D36),",","'ColDynamic':",COLUMN(BCDMDT_06108!D37),",","'RowDynamic':",ROW(BCDMDT_06108!D37),",","'Format':'numberic'",",'Value':'",SUBSTITUTE(BCDMDT_06108!D36,"'","\'"),"','TargetCode':''}")</f>
        <v>{'SheetId':'97f94cc4-2cf1-490f-9992-d56edff2a48b','UId':'0dda764f-f1ad-46a4-8c30-01732ca173c1','Col':4,'Row':36,'ColDynamic':4,'RowDynamic':37,'Format':'numberic','Value':'0','TargetCode':''}</v>
      </c>
    </row>
    <row r="436" spans="1:1">
      <c r="A436" t="str">
        <f>CONCATENATE("{'SheetId':'97f94cc4-2cf1-490f-9992-d56edff2a48b'",",","'UId':'2763dd7a-870e-495d-9601-ec3bc219a616'",",'Col':",COLUMN(BCDMDT_06108!E36),",'Row':",ROW(BCDMDT_06108!E36),",","'ColDynamic':",COLUMN(BCDMDT_06108!E37),",","'RowDynamic':",ROW(BCDMDT_06108!E37),",","'Format':'numberic'",",'Value':'",SUBSTITUTE(BCDMDT_06108!E36,"'","\'"),"','TargetCode':''}")</f>
        <v>{'SheetId':'97f94cc4-2cf1-490f-9992-d56edff2a48b','UId':'2763dd7a-870e-495d-9601-ec3bc219a616','Col':5,'Row':36,'ColDynamic':5,'RowDynamic':37,'Format':'numberic','Value':'','TargetCode':''}</v>
      </c>
    </row>
    <row r="437" spans="1:1">
      <c r="A437" t="str">
        <f>CONCATENATE("{'SheetId':'97f94cc4-2cf1-490f-9992-d56edff2a48b'",",","'UId':'d1384bac-e447-42c3-93f9-b74908915257'",",'Col':",COLUMN(BCDMDT_06108!F36),",'Row':",ROW(BCDMDT_06108!F36),",","'ColDynamic':",COLUMN(BCDMDT_06108!F37),",","'RowDynamic':",ROW(BCDMDT_06108!F37),",","'Format':'numberic'",",'Value':'",SUBSTITUTE(BCDMDT_06108!F36,"'","\'"),"','TargetCode':''}")</f>
        <v>{'SheetId':'97f94cc4-2cf1-490f-9992-d56edff2a48b','UId':'d1384bac-e447-42c3-93f9-b74908915257','Col':6,'Row':36,'ColDynamic':6,'RowDynamic':37,'Format':'numberic','Value':'0','TargetCode':''}</v>
      </c>
    </row>
    <row r="438" spans="1:1">
      <c r="A438" t="str">
        <f>CONCATENATE("{'SheetId':'97f94cc4-2cf1-490f-9992-d56edff2a48b'",",","'UId':'256a504f-c672-41bb-b3d0-566e13d01a9a'",",'Col':",COLUMN(BCDMDT_06108!G36),",'Row':",ROW(BCDMDT_06108!G36),",","'ColDynamic':",COLUMN(BCDMDT_06108!G37),",","'RowDynamic':",ROW(BCDMDT_06108!G37),",","'Format':'numberic'",",'Value':'",SUBSTITUTE(BCDMDT_06108!G36,"'","\'"),"','TargetCode':''}")</f>
        <v>{'SheetId':'97f94cc4-2cf1-490f-9992-d56edff2a48b','UId':'256a504f-c672-41bb-b3d0-566e13d01a9a','Col':7,'Row':36,'ColDynamic':7,'RowDynamic':37,'Format':'numberic','Value':'0','TargetCode':''}</v>
      </c>
    </row>
    <row r="439" spans="1:1">
      <c r="A439" t="str">
        <f>CONCATENATE("{'SheetId':'97f94cc4-2cf1-490f-9992-d56edff2a48b'",",","'UId':'b0313ec1-6a00-4332-83ea-77c4f924e325'",",'Col':",COLUMN(BCDMDT_06108!D37),",'Row':",ROW(BCDMDT_06108!D37),",","'Format':'numberic'",",'Value':'",SUBSTITUTE(BCDMDT_06108!D37,"'","\'"),"','TargetCode':''}")</f>
        <v>{'SheetId':'97f94cc4-2cf1-490f-9992-d56edff2a48b','UId':'b0313ec1-6a00-4332-83ea-77c4f924e325','Col':4,'Row':37,'Format':'numberic','Value':'0','TargetCode':''}</v>
      </c>
    </row>
    <row r="440" spans="1:1">
      <c r="A440" t="str">
        <f>CONCATENATE("{'SheetId':'97f94cc4-2cf1-490f-9992-d56edff2a48b'",",","'UId':'dd32e6e3-9de7-40ba-9fa8-5534f3b3b5d8'",",'Col':",COLUMN(BCDMDT_06108!E37),",'Row':",ROW(BCDMDT_06108!E37),",","'Format':'numberic'",",'Value':'",SUBSTITUTE(BCDMDT_06108!E37,"'","\'"),"','TargetCode':''}")</f>
        <v>{'SheetId':'97f94cc4-2cf1-490f-9992-d56edff2a48b','UId':'dd32e6e3-9de7-40ba-9fa8-5534f3b3b5d8','Col':5,'Row':37,'Format':'numberic','Value':'','TargetCode':''}</v>
      </c>
    </row>
    <row r="441" spans="1:1">
      <c r="A441" t="str">
        <f>CONCATENATE("{'SheetId':'97f94cc4-2cf1-490f-9992-d56edff2a48b'",",","'UId':'d5f92ba1-e31f-4cfd-9d96-a65e2000f574'",",'Col':",COLUMN(BCDMDT_06108!F37),",'Row':",ROW(BCDMDT_06108!F37),",","'Format':'numberic'",",'Value':'",SUBSTITUTE(BCDMDT_06108!F37,"'","\'"),"','TargetCode':''}")</f>
        <v>{'SheetId':'97f94cc4-2cf1-490f-9992-d56edff2a48b','UId':'d5f92ba1-e31f-4cfd-9d96-a65e2000f574','Col':6,'Row':37,'Format':'numberic','Value':'0','TargetCode':''}</v>
      </c>
    </row>
    <row r="442" spans="1:1">
      <c r="A442" t="str">
        <f>CONCATENATE("{'SheetId':'97f94cc4-2cf1-490f-9992-d56edff2a48b'",",","'UId':'f42fa02e-d017-4e5f-aa7e-c3072d992421'",",'Col':",COLUMN(BCDMDT_06108!G37),",'Row':",ROW(BCDMDT_06108!G37),",","'Format':'numberic'",",'Value':'",SUBSTITUTE(BCDMDT_06108!G37,"'","\'"),"','TargetCode':''}")</f>
        <v>{'SheetId':'97f94cc4-2cf1-490f-9992-d56edff2a48b','UId':'f42fa02e-d017-4e5f-aa7e-c3072d992421','Col':7,'Row':37,'Format':'numberic','Value':'0','TargetCode':''}</v>
      </c>
    </row>
    <row r="443" spans="1:1">
      <c r="A443" t="str">
        <f>CONCATENATE("{'SheetId':'97f94cc4-2cf1-490f-9992-d56edff2a48b'",",","'UId':'56e8a951-a001-4f6e-9993-2c4252f4d2e2'",",'Col':",COLUMN(BCDMDT_06108!D38),",'Row':",ROW(BCDMDT_06108!D38),",","'Format':'numberic'",",'Value':'",SUBSTITUTE(BCDMDT_06108!D38,"'","\'"),"','TargetCode':''}")</f>
        <v>{'SheetId':'97f94cc4-2cf1-490f-9992-d56edff2a48b','UId':'56e8a951-a001-4f6e-9993-2c4252f4d2e2','Col':4,'Row':38,'Format':'numberic','Value':'0','TargetCode':''}</v>
      </c>
    </row>
    <row r="444" spans="1:1">
      <c r="A444" t="str">
        <f>CONCATENATE("{'SheetId':'97f94cc4-2cf1-490f-9992-d56edff2a48b'",",","'UId':'caf91613-db72-46a8-9128-b8af4d1e0e7d'",",'Col':",COLUMN(BCDMDT_06108!E38),",'Row':",ROW(BCDMDT_06108!E38),",","'Format':'numberic'",",'Value':'",SUBSTITUTE(BCDMDT_06108!E38,"'","\'"),"','TargetCode':''}")</f>
        <v>{'SheetId':'97f94cc4-2cf1-490f-9992-d56edff2a48b','UId':'caf91613-db72-46a8-9128-b8af4d1e0e7d','Col':5,'Row':38,'Format':'numberic','Value':'','TargetCode':''}</v>
      </c>
    </row>
    <row r="445" spans="1:1">
      <c r="A445" t="str">
        <f>CONCATENATE("{'SheetId':'97f94cc4-2cf1-490f-9992-d56edff2a48b'",",","'UId':'0b83e7d7-655b-4a13-acea-76e879ab7a23'",",'Col':",COLUMN(BCDMDT_06108!F38),",'Row':",ROW(BCDMDT_06108!F38),",","'Format':'numberic'",",'Value':'",SUBSTITUTE(BCDMDT_06108!F38,"'","\'"),"','TargetCode':''}")</f>
        <v>{'SheetId':'97f94cc4-2cf1-490f-9992-d56edff2a48b','UId':'0b83e7d7-655b-4a13-acea-76e879ab7a23','Col':6,'Row':38,'Format':'numberic','Value':'0','TargetCode':''}</v>
      </c>
    </row>
    <row r="446" spans="1:1">
      <c r="A446" t="str">
        <f>CONCATENATE("{'SheetId':'97f94cc4-2cf1-490f-9992-d56edff2a48b'",",","'UId':'f23eb8c1-f1fb-4139-99e4-e67e010f30dd'",",'Col':",COLUMN(BCDMDT_06108!G38),",'Row':",ROW(BCDMDT_06108!G38),",","'Format':'numberic'",",'Value':'",SUBSTITUTE(BCDMDT_06108!G38,"'","\'"),"','TargetCode':''}")</f>
        <v>{'SheetId':'97f94cc4-2cf1-490f-9992-d56edff2a48b','UId':'f23eb8c1-f1fb-4139-99e4-e67e010f30dd','Col':7,'Row':38,'Format':'numberic','Value':'0','TargetCode':''}</v>
      </c>
    </row>
    <row r="447" spans="1:1">
      <c r="A447" t="str">
        <f>CONCATENATE("{'SheetId':'97f94cc4-2cf1-490f-9992-d56edff2a48b'",",","'UId':'98916b91-cad4-49ea-a5c6-dffd2496439d'",",'Col':",COLUMN(BCDMDT_06108!A40),",'Row':",ROW(BCDMDT_06108!A40),",","'ColDynamic':",COLUMN(BCDMDT_06108!A43),",","'RowDynamic':",ROW(BCDMDT_06108!A43),",","'Format':'numberic'",",'Value':'",SUBSTITUTE(BCDMDT_06108!A40,"'","\'"),"','TargetCode':''}")</f>
        <v>{'SheetId':'97f94cc4-2cf1-490f-9992-d56edff2a48b','UId':'98916b91-cad4-49ea-a5c6-dffd2496439d','Col':1,'Row':40,'ColDynamic':1,'RowDynamic':43,'Format':'numberic','Value':'1','TargetCode':''}</v>
      </c>
    </row>
    <row r="448" spans="1:1">
      <c r="A448" t="str">
        <f>CONCATENATE("{'SheetId':'97f94cc4-2cf1-490f-9992-d56edff2a48b'",",","'UId':'2601aee2-652c-4602-a819-18856351b861'",",'Col':",COLUMN(BCDMDT_06108!B40),",'Row':",ROW(BCDMDT_06108!B40),",","'ColDynamic':",COLUMN(BCDMDT_06108!B43),",","'RowDynamic':",ROW(BCDMDT_06108!B43),",","'Format':'string'",",'Value':'",SUBSTITUTE(BCDMDT_06108!B40,"'","\'"),"','TargetCode':''}")</f>
        <v>{'SheetId':'97f94cc4-2cf1-490f-9992-d56edff2a48b','UId':'2601aee2-652c-4602-a819-18856351b861','Col':2,'Row':40,'ColDynamic':2,'RowDynamic':43,'Format':'string','Value':'Quyền mua chứng khoán
Investment - Rights','TargetCode':''}</v>
      </c>
    </row>
    <row r="449" spans="1:1">
      <c r="A449" t="str">
        <f>CONCATENATE("{'SheetId':'97f94cc4-2cf1-490f-9992-d56edff2a48b'",",","'UId':'448a054b-569f-47a0-95c9-cba75adc8e3a'",",'Col':",COLUMN(BCDMDT_06108!C40),",'Row':",ROW(BCDMDT_06108!C40),",","'ColDynamic':",COLUMN(BCDMDT_06108!C43),",","'RowDynamic':",ROW(BCDMDT_06108!C43),",","'Format':'numberic'",",'Value':'",SUBSTITUTE(BCDMDT_06108!C40,"'","\'"),"','TargetCode':''}")</f>
        <v>{'SheetId':'97f94cc4-2cf1-490f-9992-d56edff2a48b','UId':'448a054b-569f-47a0-95c9-cba75adc8e3a','Col':3,'Row':40,'ColDynamic':3,'RowDynamic':43,'Format':'numberic','Value':'4037.1','TargetCode':''}</v>
      </c>
    </row>
    <row r="450" spans="1:1">
      <c r="A450" t="str">
        <f>CONCATENATE("{'SheetId':'97f94cc4-2cf1-490f-9992-d56edff2a48b'",",","'UId':'6e32f555-4d9d-4478-8435-91fa6da02b7a'",",'Col':",COLUMN(BCDMDT_06108!D40),",'Row':",ROW(BCDMDT_06108!D40),",","'ColDynamic':",COLUMN(BCDMDT_06108!D43),",","'RowDynamic':",ROW(BCDMDT_06108!D43),",","'Format':'numberic'",",'Value':'",SUBSTITUTE(BCDMDT_06108!D40,"'","\'"),"','TargetCode':''}")</f>
        <v>{'SheetId':'97f94cc4-2cf1-490f-9992-d56edff2a48b','UId':'6e32f555-4d9d-4478-8435-91fa6da02b7a','Col':4,'Row':40,'ColDynamic':4,'RowDynamic':43,'Format':'numberic','Value':'0','TargetCode':''}</v>
      </c>
    </row>
    <row r="451" spans="1:1">
      <c r="A451" t="str">
        <f>CONCATENATE("{'SheetId':'97f94cc4-2cf1-490f-9992-d56edff2a48b'",",","'UId':'7e5294e3-e510-4dbd-b99c-186b133f858c'",",'Col':",COLUMN(BCDMDT_06108!E40),",'Row':",ROW(BCDMDT_06108!E40),",","'ColDynamic':",COLUMN(BCDMDT_06108!E43),",","'RowDynamic':",ROW(BCDMDT_06108!E43),",","'Format':'numberic'",",'Value':'",SUBSTITUTE(BCDMDT_06108!E40,"'","\'"),"','TargetCode':''}")</f>
        <v>{'SheetId':'97f94cc4-2cf1-490f-9992-d56edff2a48b','UId':'7e5294e3-e510-4dbd-b99c-186b133f858c','Col':5,'Row':40,'ColDynamic':5,'RowDynamic':43,'Format':'numberic','Value':'','TargetCode':''}</v>
      </c>
    </row>
    <row r="452" spans="1:1">
      <c r="A452" t="str">
        <f>CONCATENATE("{'SheetId':'97f94cc4-2cf1-490f-9992-d56edff2a48b'",",","'UId':'16c5fdac-0b8d-41ce-8bd9-63faa1b0b0a1'",",'Col':",COLUMN(BCDMDT_06108!F40),",'Row':",ROW(BCDMDT_06108!F40),",","'ColDynamic':",COLUMN(BCDMDT_06108!F43),",","'RowDynamic':",ROW(BCDMDT_06108!F43),",","'Format':'numberic'",",'Value':'",SUBSTITUTE(BCDMDT_06108!F40,"'","\'"),"','TargetCode':''}")</f>
        <v>{'SheetId':'97f94cc4-2cf1-490f-9992-d56edff2a48b','UId':'16c5fdac-0b8d-41ce-8bd9-63faa1b0b0a1','Col':6,'Row':40,'ColDynamic':6,'RowDynamic':43,'Format':'numberic','Value':'0','TargetCode':''}</v>
      </c>
    </row>
    <row r="453" spans="1:1">
      <c r="A453" t="str">
        <f>CONCATENATE("{'SheetId':'97f94cc4-2cf1-490f-9992-d56edff2a48b'",",","'UId':'4c4631a3-d52f-4b67-89fe-8fd34f865f10'",",'Col':",COLUMN(BCDMDT_06108!G40),",'Row':",ROW(BCDMDT_06108!G40),",","'ColDynamic':",COLUMN(BCDMDT_06108!G43),",","'RowDynamic':",ROW(BCDMDT_06108!G43),",","'Format':'numberic'",",'Value':'",SUBSTITUTE(BCDMDT_06108!G40,"'","\'"),"','TargetCode':''}")</f>
        <v>{'SheetId':'97f94cc4-2cf1-490f-9992-d56edff2a48b','UId':'4c4631a3-d52f-4b67-89fe-8fd34f865f10','Col':7,'Row':40,'ColDynamic':7,'RowDynamic':43,'Format':'numberic','Value':'0','TargetCode':''}</v>
      </c>
    </row>
    <row r="454" spans="1:1">
      <c r="A454" t="str">
        <f>CONCATENATE("{'SheetId':'97f94cc4-2cf1-490f-9992-d56edff2a48b'",",","'UId':'fe67c014-6a68-49e7-9bc2-ad619a2512b2'",",'Col':",COLUMN(BCDMDT_06108!D41),",'Row':",ROW(BCDMDT_06108!D41),",","'Format':'numberic'",",'Value':'",SUBSTITUTE(BCDMDT_06108!D41,"'","\'"),"','TargetCode':''}")</f>
        <v>{'SheetId':'97f94cc4-2cf1-490f-9992-d56edff2a48b','UId':'fe67c014-6a68-49e7-9bc2-ad619a2512b2','Col':4,'Row':41,'Format':'numberic','Value':'0','TargetCode':''}</v>
      </c>
    </row>
    <row r="455" spans="1:1">
      <c r="A455" t="str">
        <f>CONCATENATE("{'SheetId':'97f94cc4-2cf1-490f-9992-d56edff2a48b'",",","'UId':'35839fdc-92db-44ce-a88e-f93bf7b78b89'",",'Col':",COLUMN(BCDMDT_06108!E41),",'Row':",ROW(BCDMDT_06108!E41),",","'Format':'numberic'",",'Value':'",SUBSTITUTE(BCDMDT_06108!E41,"'","\'"),"','TargetCode':''}")</f>
        <v>{'SheetId':'97f94cc4-2cf1-490f-9992-d56edff2a48b','UId':'35839fdc-92db-44ce-a88e-f93bf7b78b89','Col':5,'Row':41,'Format':'numberic','Value':'','TargetCode':''}</v>
      </c>
    </row>
    <row r="456" spans="1:1">
      <c r="A456" t="str">
        <f>CONCATENATE("{'SheetId':'97f94cc4-2cf1-490f-9992-d56edff2a48b'",",","'UId':'766a3264-c157-4cfd-ad37-cb09d7a737a8'",",'Col':",COLUMN(BCDMDT_06108!F41),",'Row':",ROW(BCDMDT_06108!F41),",","'Format':'numberic'",",'Value':'",SUBSTITUTE(BCDMDT_06108!F41,"'","\'"),"','TargetCode':''}")</f>
        <v>{'SheetId':'97f94cc4-2cf1-490f-9992-d56edff2a48b','UId':'766a3264-c157-4cfd-ad37-cb09d7a737a8','Col':6,'Row':41,'Format':'numberic','Value':'0','TargetCode':''}</v>
      </c>
    </row>
    <row r="457" spans="1:1">
      <c r="A457" t="str">
        <f>CONCATENATE("{'SheetId':'97f94cc4-2cf1-490f-9992-d56edff2a48b'",",","'UId':'e92f8db3-5c60-4a5c-b6bb-4e7f8aeebb88'",",'Col':",COLUMN(BCDMDT_06108!G41),",'Row':",ROW(BCDMDT_06108!G41),",","'Format':'numberic'",",'Value':'",SUBSTITUTE(BCDMDT_06108!G41,"'","\'"),"','TargetCode':''}")</f>
        <v>{'SheetId':'97f94cc4-2cf1-490f-9992-d56edff2a48b','UId':'e92f8db3-5c60-4a5c-b6bb-4e7f8aeebb88','Col':7,'Row':41,'Format':'numberic','Value':'0','TargetCode':''}</v>
      </c>
    </row>
    <row r="458" spans="1:1">
      <c r="A458" t="str">
        <f>CONCATENATE("{'SheetId':'97f94cc4-2cf1-490f-9992-d56edff2a48b'",",","'UId':'9a857fcc-2c15-498c-9f60-00335fc70c21'",",'Col':",COLUMN(BCDMDT_06108!A43),",'Row':",ROW(BCDMDT_06108!A43),",","'ColDynamic':",COLUMN(BCDMDT_06108!A55),",","'RowDynamic':",ROW(BCDMDT_06108!A55),",","'Format':'numberic'",",'Value':'",SUBSTITUTE(BCDMDT_06108!A43,"'","\'"),"','TargetCode':''}")</f>
        <v>{'SheetId':'97f94cc4-2cf1-490f-9992-d56edff2a48b','UId':'9a857fcc-2c15-498c-9f60-00335fc70c21','Col':1,'Row':43,'ColDynamic':1,'RowDynamic':55,'Format':'numberic','Value':'','TargetCode':''}</v>
      </c>
    </row>
    <row r="459" spans="1:1">
      <c r="A459" t="str">
        <f>CONCATENATE("{'SheetId':'97f94cc4-2cf1-490f-9992-d56edff2a48b'",",","'UId':'3e979013-edcd-4223-b605-0a63abd8da8d'",",'Col':",COLUMN(BCDMDT_06108!B43),",'Row':",ROW(BCDMDT_06108!B43),",","'ColDynamic':",COLUMN(BCDMDT_06108!B55),",","'RowDynamic':",ROW(BCDMDT_06108!B55),",","'Format':'string'",",'Value':'",SUBSTITUTE(BCDMDT_06108!B43,"'","\'"),"','TargetCode':''}")</f>
        <v>{'SheetId':'97f94cc4-2cf1-490f-9992-d56edff2a48b','UId':'3e979013-edcd-4223-b605-0a63abd8da8d','Col':2,'Row':43,'ColDynamic':2,'RowDynamic':55,'Format':'string','Value':'TỔNG CÁC LOẠI CHỨNG KHOÁN
TOTAL TYPES OF SECURITIES','TargetCode':''}</v>
      </c>
    </row>
    <row r="460" spans="1:1">
      <c r="A460" t="str">
        <f>CONCATENATE("{'SheetId':'97f94cc4-2cf1-490f-9992-d56edff2a48b'",",","'UId':'3cc4bc7d-e76f-401c-a82d-9f950536450b'",",'Col':",COLUMN(BCDMDT_06108!C43),",'Row':",ROW(BCDMDT_06108!C43),",","'ColDynamic':",COLUMN(BCDMDT_06108!C55),",","'RowDynamic':",ROW(BCDMDT_06108!C55),",","'Format':'numberic'",",'Value':'",SUBSTITUTE(BCDMDT_06108!C43,"'","\'"),"','TargetCode':''}")</f>
        <v>{'SheetId':'97f94cc4-2cf1-490f-9992-d56edff2a48b','UId':'3cc4bc7d-e76f-401c-a82d-9f950536450b','Col':3,'Row':43,'ColDynamic':3,'RowDynamic':55,'Format':'numberic','Value':'4039','TargetCode':''}</v>
      </c>
    </row>
    <row r="461" spans="1:1">
      <c r="A461" t="str">
        <f>CONCATENATE("{'SheetId':'97f94cc4-2cf1-490f-9992-d56edff2a48b'",",","'UId':'f5c6296c-ddf6-4535-93ff-f51ac34cec79'",",'Col':",COLUMN(BCDMDT_06108!D43),",'Row':",ROW(BCDMDT_06108!D43),",","'ColDynamic':",COLUMN(BCDMDT_06108!D55),",","'RowDynamic':",ROW(BCDMDT_06108!D55),",","'Format':'numberic'",",'Value':'",SUBSTITUTE(BCDMDT_06108!D43,"'","\'"),"','TargetCode':''}")</f>
        <v>{'SheetId':'97f94cc4-2cf1-490f-9992-d56edff2a48b','UId':'f5c6296c-ddf6-4535-93ff-f51ac34cec79','Col':4,'Row':43,'ColDynamic':4,'RowDynamic':55,'Format':'numberic','Value':'','TargetCode':''}</v>
      </c>
    </row>
    <row r="462" spans="1:1">
      <c r="A462" t="str">
        <f>CONCATENATE("{'SheetId':'97f94cc4-2cf1-490f-9992-d56edff2a48b'",",","'UId':'2083bb19-14da-4045-bf10-7a3205a3cc3f'",",'Col':",COLUMN(BCDMDT_06108!E43),",'Row':",ROW(BCDMDT_06108!E43),",","'ColDynamic':",COLUMN(BCDMDT_06108!E55),",","'RowDynamic':",ROW(BCDMDT_06108!E55),",","'Format':'numberic'",",'Value':'",SUBSTITUTE(BCDMDT_06108!E43,"'","\'"),"','TargetCode':''}")</f>
        <v>{'SheetId':'97f94cc4-2cf1-490f-9992-d56edff2a48b','UId':'2083bb19-14da-4045-bf10-7a3205a3cc3f','Col':5,'Row':43,'ColDynamic':5,'RowDynamic':55,'Format':'numberic','Value':'','TargetCode':''}</v>
      </c>
    </row>
    <row r="463" spans="1:1">
      <c r="A463" t="str">
        <f>CONCATENATE("{'SheetId':'97f94cc4-2cf1-490f-9992-d56edff2a48b'",",","'UId':'430436ad-39f2-4a0f-b8fe-913b47379af6'",",'Col':",COLUMN(BCDMDT_06108!F43),",'Row':",ROW(BCDMDT_06108!F43),",","'ColDynamic':",COLUMN(BCDMDT_06108!F55),",","'RowDynamic':",ROW(BCDMDT_06108!F55),",","'Format':'numberic'",",'Value':'",SUBSTITUTE(BCDMDT_06108!F43,"'","\'"),"','TargetCode':''}")</f>
        <v>{'SheetId':'97f94cc4-2cf1-490f-9992-d56edff2a48b','UId':'430436ad-39f2-4a0f-b8fe-913b47379af6','Col':6,'Row':43,'ColDynamic':6,'RowDynamic':55,'Format':'numberic','Value':'366994580000','TargetCode':''}</v>
      </c>
    </row>
    <row r="464" spans="1:1">
      <c r="A464" t="str">
        <f>CONCATENATE("{'SheetId':'97f94cc4-2cf1-490f-9992-d56edff2a48b'",",","'UId':'a4e575f3-6b63-4a68-b885-9356cd70acc6'",",'Col':",COLUMN(BCDMDT_06108!G43),",'Row':",ROW(BCDMDT_06108!G43),",","'ColDynamic':",COLUMN(BCDMDT_06108!G55),",","'RowDynamic':",ROW(BCDMDT_06108!G55),",","'Format':'numberic'",",'Value':'",SUBSTITUTE(BCDMDT_06108!G43,"'","\'"),"','TargetCode':''}")</f>
        <v>{'SheetId':'97f94cc4-2cf1-490f-9992-d56edff2a48b','UId':'a4e575f3-6b63-4a68-b885-9356cd70acc6','Col':7,'Row':43,'ColDynamic':7,'RowDynamic':55,'Format':'numberic','Value':'0.905611199354124','TargetCode':''}</v>
      </c>
    </row>
    <row r="465" spans="1:1">
      <c r="A465" t="str">
        <f>CONCATENATE("{'SheetId':'97f94cc4-2cf1-490f-9992-d56edff2a48b'",",","'UId':'4f6c609c-6a5a-4572-8d05-c2597824ff25'",",'Col':",COLUMN(BCDMDT_06108!D44),",'Row':",ROW(BCDMDT_06108!D44),",","'Format':'numberic'",",'Value':'",SUBSTITUTE(BCDMDT_06108!D44,"'","\'"),"','TargetCode':''}")</f>
        <v>{'SheetId':'97f94cc4-2cf1-490f-9992-d56edff2a48b','UId':'4f6c609c-6a5a-4572-8d05-c2597824ff25','Col':4,'Row':44,'Format':'numberic','Value':'','TargetCode':''}</v>
      </c>
    </row>
    <row r="466" spans="1:1">
      <c r="A466" t="str">
        <f>CONCATENATE("{'SheetId':'97f94cc4-2cf1-490f-9992-d56edff2a48b'",",","'UId':'199df9f5-775e-494f-98ce-ab1a9dec16cd'",",'Col':",COLUMN(BCDMDT_06108!E44),",'Row':",ROW(BCDMDT_06108!E44),",","'Format':'numberic'",",'Value':'",SUBSTITUTE(BCDMDT_06108!E44,"'","\'"),"','TargetCode':''}")</f>
        <v>{'SheetId':'97f94cc4-2cf1-490f-9992-d56edff2a48b','UId':'199df9f5-775e-494f-98ce-ab1a9dec16cd','Col':5,'Row':44,'Format':'numberic','Value':'','TargetCode':''}</v>
      </c>
    </row>
    <row r="467" spans="1:1">
      <c r="A467" t="str">
        <f>CONCATENATE("{'SheetId':'97f94cc4-2cf1-490f-9992-d56edff2a48b'",",","'UId':'568d7d46-a83c-4b46-bc9f-0b345c10f451'",",'Col':",COLUMN(BCDMDT_06108!F44),",'Row':",ROW(BCDMDT_06108!F44),",","'Format':'numberic'",",'Value':'",SUBSTITUTE(BCDMDT_06108!F44,"'","\'"),"','TargetCode':''}")</f>
        <v>{'SheetId':'97f94cc4-2cf1-490f-9992-d56edff2a48b','UId':'568d7d46-a83c-4b46-bc9f-0b345c10f451','Col':6,'Row':44,'Format':'numberic','Value':'','TargetCode':''}</v>
      </c>
    </row>
    <row r="468" spans="1:1">
      <c r="A468" t="str">
        <f>CONCATENATE("{'SheetId':'97f94cc4-2cf1-490f-9992-d56edff2a48b'",",","'UId':'40984a12-7865-4903-a489-3a50800fe9a1'",",'Col':",COLUMN(BCDMDT_06108!G44),",'Row':",ROW(BCDMDT_06108!G44),",","'Format':'numberic'",",'Value':'",SUBSTITUTE(BCDMDT_06108!G44,"'","\'"),"','TargetCode':''}")</f>
        <v>{'SheetId':'97f94cc4-2cf1-490f-9992-d56edff2a48b','UId':'40984a12-7865-4903-a489-3a50800fe9a1','Col':7,'Row':44,'Format':'numberic','Value':'','TargetCode':''}</v>
      </c>
    </row>
    <row r="469" spans="1:1">
      <c r="A469" t="str">
        <f>CONCATENATE("{'SheetId':'97f94cc4-2cf1-490f-9992-d56edff2a48b'",",","'UId':'5aaae082-8da8-4940-9deb-493d9078553c'",",'Col':",COLUMN(BCDMDT_06108!D45),",'Row':",ROW(BCDMDT_06108!D45),",","'Format':'numberic'",",'Value':'",SUBSTITUTE(BCDMDT_06108!D45,"'","\'"),"','TargetCode':''}")</f>
        <v>{'SheetId':'97f94cc4-2cf1-490f-9992-d56edff2a48b','UId':'5aaae082-8da8-4940-9deb-493d9078553c','Col':4,'Row':45,'Format':'numberic','Value':'','TargetCode':''}</v>
      </c>
    </row>
    <row r="470" spans="1:1">
      <c r="A470" t="str">
        <f>CONCATENATE("{'SheetId':'97f94cc4-2cf1-490f-9992-d56edff2a48b'",",","'UId':'7e18af69-f67a-4d03-9114-95a6eb322f95'",",'Col':",COLUMN(BCDMDT_06108!E45),",'Row':",ROW(BCDMDT_06108!E45),",","'Format':'numberic'",",'Value':'",SUBSTITUTE(BCDMDT_06108!E45,"'","\'"),"','TargetCode':''}")</f>
        <v>{'SheetId':'97f94cc4-2cf1-490f-9992-d56edff2a48b','UId':'7e18af69-f67a-4d03-9114-95a6eb322f95','Col':5,'Row':45,'Format':'numberic','Value':'','TargetCode':''}</v>
      </c>
    </row>
    <row r="471" spans="1:1">
      <c r="A471" t="str">
        <f>CONCATENATE("{'SheetId':'97f94cc4-2cf1-490f-9992-d56edff2a48b'",",","'UId':'71b8f338-b37c-49fd-a991-d8a153913b22'",",'Col':",COLUMN(BCDMDT_06108!F45),",'Row':",ROW(BCDMDT_06108!F45),",","'Format':'numberic'",",'Value':'",SUBSTITUTE(BCDMDT_06108!F45,"'","\'"),"','TargetCode':''}")</f>
        <v>{'SheetId':'97f94cc4-2cf1-490f-9992-d56edff2a48b','UId':'71b8f338-b37c-49fd-a991-d8a153913b22','Col':6,'Row':45,'Format':'numberic','Value':'265760000','TargetCode':''}</v>
      </c>
    </row>
    <row r="472" spans="1:1">
      <c r="A472" t="str">
        <f>CONCATENATE("{'SheetId':'97f94cc4-2cf1-490f-9992-d56edff2a48b'",",","'UId':'06e8433a-f8a5-4bed-a89c-6ade0c43f4d1'",",'Col':",COLUMN(BCDMDT_06108!G45),",'Row':",ROW(BCDMDT_06108!G45),",","'Format':'numberic'",",'Value':'",SUBSTITUTE(BCDMDT_06108!G45,"'","\'"),"','TargetCode':''}")</f>
        <v>{'SheetId':'97f94cc4-2cf1-490f-9992-d56edff2a48b','UId':'06e8433a-f8a5-4bed-a89c-6ade0c43f4d1','Col':7,'Row':45,'Format':'numberic','Value':'0.000655800508934906','TargetCode':''}</v>
      </c>
    </row>
    <row r="473" spans="1:1">
      <c r="A473" t="str">
        <f>CONCATENATE("{'SheetId':'97f94cc4-2cf1-490f-9992-d56edff2a48b'",",","'UId':'cf024e3f-6c0c-418d-8b49-55c65ec7ec95'",",'Col':",COLUMN(BCDMDT_06108!A54),",'Row':",ROW(BCDMDT_06108!A54),",","'ColDynamic':",COLUMN(BCDMDT_06108!A61),",","'RowDynamic':",ROW(BCDMDT_06108!A61),",","'Format':'numberic'",",'Value':'",SUBSTITUTE(BCDMDT_06108!A54,"'","\'"),"','TargetCode':''}")</f>
        <v>{'SheetId':'97f94cc4-2cf1-490f-9992-d56edff2a48b','UId':'cf024e3f-6c0c-418d-8b49-55c65ec7ec95','Col':1,'Row':54,'ColDynamic':1,'RowDynamic':61,'Format':'numberic','Value':'1','TargetCode':''}</v>
      </c>
    </row>
    <row r="474" spans="1:1">
      <c r="A474" t="str">
        <f>CONCATENATE("{'SheetId':'97f94cc4-2cf1-490f-9992-d56edff2a48b'",",","'UId':'bab093ef-7bd1-48fd-aaae-4a9790143bf5'",",'Col':",COLUMN(BCDMDT_06108!B54),",'Row':",ROW(BCDMDT_06108!B54),",","'ColDynamic':",COLUMN(BCDMDT_06108!B61),",","'RowDynamic':",ROW(BCDMDT_06108!B61),",","'Format':'string'",",'Value':'",SUBSTITUTE(BCDMDT_06108!B54,"'","\'"),"','TargetCode':''}")</f>
        <v>{'SheetId':'97f94cc4-2cf1-490f-9992-d56edff2a48b','UId':'bab093ef-7bd1-48fd-aaae-4a9790143bf5','Col':2,'Row':54,'ColDynamic':2,'RowDynamic':61,'Format':'string','Value':'Tiền gửi Ngân hàng
Cash at bank','TargetCode':''}</v>
      </c>
    </row>
    <row r="475" spans="1:1">
      <c r="A475" t="str">
        <f>CONCATENATE("{'SheetId':'97f94cc4-2cf1-490f-9992-d56edff2a48b'",",","'UId':'8d178130-1ea6-493e-8be3-836d042b7f35'",",'Col':",COLUMN(BCDMDT_06108!C54),",'Row':",ROW(BCDMDT_06108!C54),",","'ColDynamic':",COLUMN(BCDMDT_06108!C61),",","'RowDynamic':",ROW(BCDMDT_06108!C61),",","'Format':'numberic'",",'Value':'",SUBSTITUTE(BCDMDT_06108!C54,"'","\'"),"','TargetCode':''}")</f>
        <v>{'SheetId':'97f94cc4-2cf1-490f-9992-d56edff2a48b','UId':'8d178130-1ea6-493e-8be3-836d042b7f35','Col':3,'Row':54,'ColDynamic':3,'RowDynamic':61,'Format':'numberic','Value':'4043','TargetCode':''}</v>
      </c>
    </row>
    <row r="476" spans="1:1">
      <c r="A476" t="str">
        <f>CONCATENATE("{'SheetId':'97f94cc4-2cf1-490f-9992-d56edff2a48b'",",","'UId':'c1677490-7516-44f0-8a45-18c9e47688f2'",",'Col':",COLUMN(BCDMDT_06108!D54),",'Row':",ROW(BCDMDT_06108!D54),",","'ColDynamic':",COLUMN(BCDMDT_06108!D61),",","'RowDynamic':",ROW(BCDMDT_06108!D61),",","'Format':'numberic'",",'Value':'",SUBSTITUTE(BCDMDT_06108!D54,"'","\'"),"','TargetCode':''}")</f>
        <v>{'SheetId':'97f94cc4-2cf1-490f-9992-d56edff2a48b','UId':'c1677490-7516-44f0-8a45-18c9e47688f2','Col':4,'Row':54,'ColDynamic':4,'RowDynamic':61,'Format':'numberic','Value':'','TargetCode':''}</v>
      </c>
    </row>
    <row r="477" spans="1:1">
      <c r="A477" t="str">
        <f>CONCATENATE("{'SheetId':'97f94cc4-2cf1-490f-9992-d56edff2a48b'",",","'UId':'c18d94f4-a7ff-48af-9948-94dd03d5c644'",",'Col':",COLUMN(BCDMDT_06108!E54),",'Row':",ROW(BCDMDT_06108!E54),",","'ColDynamic':",COLUMN(BCDMDT_06108!E61),",","'RowDynamic':",ROW(BCDMDT_06108!E61),",","'Format':'numberic'",",'Value':'",SUBSTITUTE(BCDMDT_06108!E54,"'","\'"),"','TargetCode':''}")</f>
        <v>{'SheetId':'97f94cc4-2cf1-490f-9992-d56edff2a48b','UId':'c18d94f4-a7ff-48af-9948-94dd03d5c644','Col':5,'Row':54,'ColDynamic':5,'RowDynamic':61,'Format':'numberic','Value':'','TargetCode':''}</v>
      </c>
    </row>
    <row r="478" spans="1:1">
      <c r="A478" t="str">
        <f>CONCATENATE("{'SheetId':'97f94cc4-2cf1-490f-9992-d56edff2a48b'",",","'UId':'9165ebb3-3739-4d81-a261-f89a3b450f4e'",",'Col':",COLUMN(BCDMDT_06108!F54),",'Row':",ROW(BCDMDT_06108!F54),",","'ColDynamic':",COLUMN(BCDMDT_06108!F61),",","'RowDynamic':",ROW(BCDMDT_06108!F61),",","'Format':'numberic'",",'Value':'",SUBSTITUTE(BCDMDT_06108!F54,"'","\'"),"','TargetCode':''}")</f>
        <v>{'SheetId':'97f94cc4-2cf1-490f-9992-d56edff2a48b','UId':'9165ebb3-3739-4d81-a261-f89a3b450f4e','Col':6,'Row':54,'ColDynamic':6,'RowDynamic':61,'Format':'numberic','Value':'37984847186','TargetCode':''}</v>
      </c>
    </row>
    <row r="479" spans="1:1">
      <c r="A479" t="str">
        <f>CONCATENATE("{'SheetId':'97f94cc4-2cf1-490f-9992-d56edff2a48b'",",","'UId':'5383f531-8c5d-4b61-a2e0-9949d7456c4f'",",'Col':",COLUMN(BCDMDT_06108!G54),",'Row':",ROW(BCDMDT_06108!G54),",","'ColDynamic':",COLUMN(BCDMDT_06108!G61),",","'RowDynamic':",ROW(BCDMDT_06108!G61),",","'Format':'numberic'",",'Value':'",SUBSTITUTE(BCDMDT_06108!G54,"'","\'"),"','TargetCode':''}")</f>
        <v>{'SheetId':'97f94cc4-2cf1-490f-9992-d56edff2a48b','UId':'5383f531-8c5d-4b61-a2e0-9949d7456c4f','Col':7,'Row':54,'ColDynamic':7,'RowDynamic':61,'Format':'numberic','Value':'0.093733000136941','TargetCode':''}</v>
      </c>
    </row>
    <row r="480" spans="1:1">
      <c r="A480" t="str">
        <f>CONCATENATE("{'SheetId':'97f94cc4-2cf1-490f-9992-d56edff2a48b'",",","'UId':'26543170-e0dc-49c6-b8d6-ab31cb86cf5e'",",'Col':",COLUMN(BCDMDT_06108!D55),",'Row':",ROW(BCDMDT_06108!D55),",","'Format':'numberic'",",'Value':'",SUBSTITUTE(BCDMDT_06108!D55,"'","\'"),"','TargetCode':''}")</f>
        <v>{'SheetId':'97f94cc4-2cf1-490f-9992-d56edff2a48b','UId':'26543170-e0dc-49c6-b8d6-ab31cb86cf5e','Col':4,'Row':55,'Format':'numberic','Value':'','TargetCode':''}</v>
      </c>
    </row>
    <row r="481" spans="1:1">
      <c r="A481" t="str">
        <f>CONCATENATE("{'SheetId':'97f94cc4-2cf1-490f-9992-d56edff2a48b'",",","'UId':'675dbcf4-5f5f-49b1-b523-3f0c91ed37bc'",",'Col':",COLUMN(BCDMDT_06108!E55),",'Row':",ROW(BCDMDT_06108!E55),",","'Format':'numberic'",",'Value':'",SUBSTITUTE(BCDMDT_06108!E55,"'","\'"),"','TargetCode':''}")</f>
        <v>{'SheetId':'97f94cc4-2cf1-490f-9992-d56edff2a48b','UId':'675dbcf4-5f5f-49b1-b523-3f0c91ed37bc','Col':5,'Row':55,'Format':'numberic','Value':'','TargetCode':''}</v>
      </c>
    </row>
    <row r="482" spans="1:1">
      <c r="A482" t="str">
        <f>CONCATENATE("{'SheetId':'97f94cc4-2cf1-490f-9992-d56edff2a48b'",",","'UId':'7766f28c-1e42-4c6d-a056-0d23c8f10652'",",'Col':",COLUMN(BCDMDT_06108!F55),",'Row':",ROW(BCDMDT_06108!F55),",","'Format':'numberic'",",'Value':'",SUBSTITUTE(BCDMDT_06108!F55,"'","\'"),"','TargetCode':''}")</f>
        <v>{'SheetId':'97f94cc4-2cf1-490f-9992-d56edff2a48b','UId':'7766f28c-1e42-4c6d-a056-0d23c8f10652','Col':6,'Row':55,'Format':'numberic','Value':'37984847186','TargetCode':''}</v>
      </c>
    </row>
    <row r="483" spans="1:1">
      <c r="A483" t="str">
        <f>CONCATENATE("{'SheetId':'97f94cc4-2cf1-490f-9992-d56edff2a48b'",",","'UId':'d0185705-d0f2-4207-9f42-3559fd7fccd6'",",'Col':",COLUMN(BCDMDT_06108!G55),",'Row':",ROW(BCDMDT_06108!G55),",","'Format':'numberic'",",'Value':'",SUBSTITUTE(BCDMDT_06108!G55,"'","\'"),"','TargetCode':''}")</f>
        <v>{'SheetId':'97f94cc4-2cf1-490f-9992-d56edff2a48b','UId':'d0185705-d0f2-4207-9f42-3559fd7fccd6','Col':7,'Row':55,'Format':'numberic','Value':'0.093733000136941','TargetCode':''}</v>
      </c>
    </row>
    <row r="484" spans="1:1">
      <c r="A484" t="str">
        <f>CONCATENATE("{'SheetId':'97f94cc4-2cf1-490f-9992-d56edff2a48b'",",","'UId':'5771d576-186a-42c7-8b2d-37effd7dd119'",",'Col':",COLUMN(BCDMDT_06108!D56),",'Row':",ROW(BCDMDT_06108!D56),",","'Format':'numberic'",",'Value':'",SUBSTITUTE(BCDMDT_06108!D56,"'","\'"),"','TargetCode':''}")</f>
        <v>{'SheetId':'97f94cc4-2cf1-490f-9992-d56edff2a48b','UId':'5771d576-186a-42c7-8b2d-37effd7dd119','Col':4,'Row':56,'Format':'numberic','Value':'','TargetCode':''}</v>
      </c>
    </row>
    <row r="485" spans="1:1">
      <c r="A485" t="str">
        <f>CONCATENATE("{'SheetId':'97f94cc4-2cf1-490f-9992-d56edff2a48b'",",","'UId':'e97e61f4-dde9-474b-b55b-5204e787313c'",",'Col':",COLUMN(BCDMDT_06108!E56),",'Row':",ROW(BCDMDT_06108!E56),",","'Format':'numberic'",",'Value':'",SUBSTITUTE(BCDMDT_06108!E56,"'","\'"),"','TargetCode':''}")</f>
        <v>{'SheetId':'97f94cc4-2cf1-490f-9992-d56edff2a48b','UId':'e97e61f4-dde9-474b-b55b-5204e787313c','Col':5,'Row':56,'Format':'numberic','Value':'','TargetCode':''}</v>
      </c>
    </row>
    <row r="486" spans="1:1">
      <c r="A486" t="str">
        <f>CONCATENATE("{'SheetId':'97f94cc4-2cf1-490f-9992-d56edff2a48b'",",","'UId':'ad2a09d5-3fe4-41c7-918c-71652dc1ff78'",",'Col':",COLUMN(BCDMDT_06108!F56),",'Row':",ROW(BCDMDT_06108!F56),",","'Format':'numberic'",",'Value':'",SUBSTITUTE(BCDMDT_06108!F56,"'","\'"),"','TargetCode':''}")</f>
        <v>{'SheetId':'97f94cc4-2cf1-490f-9992-d56edff2a48b','UId':'ad2a09d5-3fe4-41c7-918c-71652dc1ff78','Col':6,'Row':56,'Format':'numberic','Value':'0','TargetCode':''}</v>
      </c>
    </row>
    <row r="487" spans="1:1">
      <c r="A487" t="str">
        <f>CONCATENATE("{'SheetId':'97f94cc4-2cf1-490f-9992-d56edff2a48b'",",","'UId':'a024435a-79b1-4882-a92d-662dd5e70793'",",'Col':",COLUMN(BCDMDT_06108!G56),",'Row':",ROW(BCDMDT_06108!G56),",","'Format':'numberic'",",'Value':'",SUBSTITUTE(BCDMDT_06108!G56,"'","\'"),"','TargetCode':''}")</f>
        <v>{'SheetId':'97f94cc4-2cf1-490f-9992-d56edff2a48b','UId':'a024435a-79b1-4882-a92d-662dd5e70793','Col':7,'Row':56,'Format':'numberic','Value':'0','TargetCode':''}</v>
      </c>
    </row>
    <row r="488" spans="1:1">
      <c r="A488" t="str">
        <f>CONCATENATE("{'SheetId':'97f94cc4-2cf1-490f-9992-d56edff2a48b'",",","'UId':'0f2dead1-e171-4208-a851-914f69615f82'",",'Col':",COLUMN(BCDMDT_06108!A58),",'Row':",ROW(BCDMDT_06108!A58),",","'ColDynamic':",COLUMN(BCDMDT_06108!A57),",","'RowDynamic':",ROW(BCDMDT_06108!A57),",","'Format':'string'",",'Value':'",SUBSTITUTE(BCDMDT_06108!A58,"'","\'"),"','TargetCode':''}")</f>
        <v>{'SheetId':'97f94cc4-2cf1-490f-9992-d56edff2a48b','UId':'0f2dead1-e171-4208-a851-914f69615f82','Col':1,'Row':58,'ColDynamic':1,'RowDynamic':57,'Format':'string','Value':'2','TargetCode':''}</v>
      </c>
    </row>
    <row r="489" spans="1:1">
      <c r="A489" t="str">
        <f>CONCATENATE("{'SheetId':'97f94cc4-2cf1-490f-9992-d56edff2a48b'",",","'UId':'eb93bf88-bab4-4fc3-af47-6cda172e8c8c'",",'Col':",COLUMN(BCDMDT_06108!B58),",'Row':",ROW(BCDMDT_06108!B58),",","'ColDynamic':",COLUMN(BCDMDT_06108!B57),",","'RowDynamic':",ROW(BCDMDT_06108!B57),",","'Format':'string'",",'Value':'",SUBSTITUTE(BCDMDT_06108!B58,"'","\'"),"','TargetCode':''}")</f>
        <v>{'SheetId':'97f94cc4-2cf1-490f-9992-d56edff2a48b','UId':'eb93bf88-bab4-4fc3-af47-6cda172e8c8c','Col':2,'Row':58,'ColDynamic':2,'RowDynamic':57,'Format':'string','Value':'Chứng chỉ tiền gửi 
Certificates of deposit','TargetCode':''}</v>
      </c>
    </row>
    <row r="490" spans="1:1">
      <c r="A490" t="str">
        <f>CONCATENATE("{'SheetId':'97f94cc4-2cf1-490f-9992-d56edff2a48b'",",","'UId':'5d1f678e-30ec-4260-b6af-00c93418bc6c'",",'Col':",COLUMN(BCDMDT_06108!C58),",'Row':",ROW(BCDMDT_06108!C58),",","'ColDynamic':",COLUMN(BCDMDT_06108!C57),",","'RowDynamic':",ROW(BCDMDT_06108!C57),",","'Format':'string'",",'Value':'",SUBSTITUTE(BCDMDT_06108!C58,"'","\'"),"','TargetCode':''}")</f>
        <v>{'SheetId':'97f94cc4-2cf1-490f-9992-d56edff2a48b','UId':'5d1f678e-30ec-4260-b6af-00c93418bc6c','Col':3,'Row':58,'ColDynamic':3,'RowDynamic':57,'Format':'string','Value':'4044','TargetCode':''}</v>
      </c>
    </row>
    <row r="491" spans="1:1">
      <c r="A491" t="str">
        <f>CONCATENATE("{'SheetId':'97f94cc4-2cf1-490f-9992-d56edff2a48b'",",","'UId':'d2390ac2-17a1-4e79-9f9e-a0e1e918db24'",",'Col':",COLUMN(BCDMDT_06108!D58),",'Row':",ROW(BCDMDT_06108!D58),",","'ColDynamic':",COLUMN(BCDMDT_06108!D57),",","'RowDynamic':",ROW(BCDMDT_06108!D57),",","'Format':'numberic'",",'Value':'",SUBSTITUTE(BCDMDT_06108!D58,"'","\'"),"','TargetCode':''}")</f>
        <v>{'SheetId':'97f94cc4-2cf1-490f-9992-d56edff2a48b','UId':'d2390ac2-17a1-4e79-9f9e-a0e1e918db24','Col':4,'Row':58,'ColDynamic':4,'RowDynamic':57,'Format':'numberic','Value':'','TargetCode':''}</v>
      </c>
    </row>
    <row r="492" spans="1:1">
      <c r="A492" t="str">
        <f>CONCATENATE("{'SheetId':'97f94cc4-2cf1-490f-9992-d56edff2a48b'",",","'UId':'987b1e5b-5774-4c91-a7c9-c25f0cb75f38'",",'Col':",COLUMN(BCDMDT_06108!E58),",'Row':",ROW(BCDMDT_06108!E58),",","'ColDynamic':",COLUMN(BCDMDT_06108!E57),",","'RowDynamic':",ROW(BCDMDT_06108!E57),",","'Format':'numberic'",",'Value':'",SUBSTITUTE(BCDMDT_06108!E58,"'","\'"),"','TargetCode':''}")</f>
        <v>{'SheetId':'97f94cc4-2cf1-490f-9992-d56edff2a48b','UId':'987b1e5b-5774-4c91-a7c9-c25f0cb75f38','Col':5,'Row':58,'ColDynamic':5,'RowDynamic':57,'Format':'numberic','Value':'','TargetCode':''}</v>
      </c>
    </row>
    <row r="493" spans="1:1">
      <c r="A493" t="str">
        <f>CONCATENATE("{'SheetId':'97f94cc4-2cf1-490f-9992-d56edff2a48b'",",","'UId':'940e47b0-c384-4fd9-8187-9682427c7877'",",'Col':",COLUMN(BCDMDT_06108!F58),",'Row':",ROW(BCDMDT_06108!F58),",","'ColDynamic':",COLUMN(BCDMDT_06108!F57),",","'RowDynamic':",ROW(BCDMDT_06108!F57),",","'Format':'numberic'",",'Value':'",SUBSTITUTE(BCDMDT_06108!F58,"'","\'"),"','TargetCode':''}")</f>
        <v>{'SheetId':'97f94cc4-2cf1-490f-9992-d56edff2a48b','UId':'940e47b0-c384-4fd9-8187-9682427c7877','Col':6,'Row':58,'ColDynamic':6,'RowDynamic':57,'Format':'numberic','Value':'0','TargetCode':''}</v>
      </c>
    </row>
    <row r="494" spans="1:1">
      <c r="A494" t="str">
        <f>CONCATENATE("{'SheetId':'97f94cc4-2cf1-490f-9992-d56edff2a48b'",",","'UId':'43b5fa0f-b62a-48c5-a6e1-fd84c1ac4294'",",'Col':",COLUMN(BCDMDT_06108!G58),",'Row':",ROW(BCDMDT_06108!G58),",","'ColDynamic':",COLUMN(BCDMDT_06108!G57),",","'RowDynamic':",ROW(BCDMDT_06108!G57),",","'Format':'numberic'",",'Value':'",SUBSTITUTE(BCDMDT_06108!G58,"'","\'"),"','TargetCode':''}")</f>
        <v>{'SheetId':'97f94cc4-2cf1-490f-9992-d56edff2a48b','UId':'43b5fa0f-b62a-48c5-a6e1-fd84c1ac4294','Col':7,'Row':58,'ColDynamic':7,'RowDynamic':57,'Format':'numberic','Value':'0','TargetCode':''}</v>
      </c>
    </row>
    <row r="495" spans="1:1">
      <c r="A495" t="str">
        <f>CONCATENATE("{'SheetId':'97f94cc4-2cf1-490f-9992-d56edff2a48b'",",","'UId':'8e706584-9a97-411a-aa73-101d6bbfd1b3'",",'Col':",COLUMN(BCDMDT_06108!A60),",'Row':",ROW(BCDMDT_06108!A60),",","'ColDynamic':",COLUMN(BCDMDT_06108!A59),",","'RowDynamic':",ROW(BCDMDT_06108!A59),",","'Format':'string'",",'Value':'",SUBSTITUTE(BCDMDT_06108!A60,"'","\'"),"','TargetCode':''}")</f>
        <v>{'SheetId':'97f94cc4-2cf1-490f-9992-d56edff2a48b','UId':'8e706584-9a97-411a-aa73-101d6bbfd1b3','Col':1,'Row':60,'ColDynamic':1,'RowDynamic':59,'Format':'string','Value':'','TargetCode':''}</v>
      </c>
    </row>
    <row r="496" spans="1:1">
      <c r="A496" t="str">
        <f>CONCATENATE("{'SheetId':'97f94cc4-2cf1-490f-9992-d56edff2a48b'",",","'UId':'ebbb73ee-21aa-4791-831d-554ddb8bda55'",",'Col':",COLUMN(BCDMDT_06108!B60),",'Row':",ROW(BCDMDT_06108!B60),",","'ColDynamic':",COLUMN(BCDMDT_06108!B59),",","'RowDynamic':",ROW(BCDMDT_06108!B59),",","'Format':'string'",",'Value':'",SUBSTITUTE(BCDMDT_06108!B60,"'","\'"),"','TargetCode':''}")</f>
        <v>{'SheetId':'97f94cc4-2cf1-490f-9992-d56edff2a48b','UId':'ebbb73ee-21aa-4791-831d-554ddb8bda55','Col':2,'Row':60,'ColDynamic':2,'RowDynamic':59,'Format':'string','Value':'TỔNG
TOTAL','TargetCode':''}</v>
      </c>
    </row>
    <row r="497" spans="1:1">
      <c r="A497" t="str">
        <f>CONCATENATE("{'SheetId':'97f94cc4-2cf1-490f-9992-d56edff2a48b'",",","'UId':'593a8ce3-bc56-4d99-bcfb-4d7543d6a8b5'",",'Col':",COLUMN(BCDMDT_06108!C60),",'Row':",ROW(BCDMDT_06108!C60),",","'ColDynamic':",COLUMN(BCDMDT_06108!C59),",","'RowDynamic':",ROW(BCDMDT_06108!C59),",","'Format':'string'",",'Value':'",SUBSTITUTE(BCDMDT_06108!C60,"'","\'"),"','TargetCode':''}")</f>
        <v>{'SheetId':'97f94cc4-2cf1-490f-9992-d56edff2a48b','UId':'593a8ce3-bc56-4d99-bcfb-4d7543d6a8b5','Col':3,'Row':60,'ColDynamic':3,'RowDynamic':59,'Format':'string','Value':'4046','TargetCode':''}</v>
      </c>
    </row>
    <row r="498" spans="1:1">
      <c r="A498" t="str">
        <f>CONCATENATE("{'SheetId':'97f94cc4-2cf1-490f-9992-d56edff2a48b'",",","'UId':'85c39c8e-7140-4a81-87fa-55f0bc0c1629'",",'Col':",COLUMN(BCDMDT_06108!D60),",'Row':",ROW(BCDMDT_06108!D60),",","'ColDynamic':",COLUMN(BCDMDT_06108!D59),",","'RowDynamic':",ROW(BCDMDT_06108!D59),",","'Format':'numberic'",",'Value':'",SUBSTITUTE(BCDMDT_06108!D60,"'","\'"),"','TargetCode':''}")</f>
        <v>{'SheetId':'97f94cc4-2cf1-490f-9992-d56edff2a48b','UId':'85c39c8e-7140-4a81-87fa-55f0bc0c1629','Col':4,'Row':60,'ColDynamic':4,'RowDynamic':59,'Format':'numberic','Value':'','TargetCode':''}</v>
      </c>
    </row>
    <row r="499" spans="1:1">
      <c r="A499" t="str">
        <f>CONCATENATE("{'SheetId':'97f94cc4-2cf1-490f-9992-d56edff2a48b'",",","'UId':'d9c57217-ce09-4810-bd54-36c17bc214d8'",",'Col':",COLUMN(BCDMDT_06108!E60),",'Row':",ROW(BCDMDT_06108!E60),",","'ColDynamic':",COLUMN(BCDMDT_06108!E59),",","'RowDynamic':",ROW(BCDMDT_06108!E59),",","'Format':'numberic'",",'Value':'",SUBSTITUTE(BCDMDT_06108!E60,"'","\'"),"','TargetCode':''}")</f>
        <v>{'SheetId':'97f94cc4-2cf1-490f-9992-d56edff2a48b','UId':'d9c57217-ce09-4810-bd54-36c17bc214d8','Col':5,'Row':60,'ColDynamic':5,'RowDynamic':59,'Format':'numberic','Value':'','TargetCode':''}</v>
      </c>
    </row>
    <row r="500" spans="1:1">
      <c r="A500" t="str">
        <f>CONCATENATE("{'SheetId':'97f94cc4-2cf1-490f-9992-d56edff2a48b'",",","'UId':'38610ebe-9b8a-4309-b7c2-3110b15b2b5d'",",'Col':",COLUMN(BCDMDT_06108!F60),",'Row':",ROW(BCDMDT_06108!F60),",","'ColDynamic':",COLUMN(BCDMDT_06108!F59),",","'RowDynamic':",ROW(BCDMDT_06108!F59),",","'Format':'numberic'",",'Value':'",SUBSTITUTE(BCDMDT_06108!F60,"'","\'"),"','TargetCode':''}")</f>
        <v>{'SheetId':'97f94cc4-2cf1-490f-9992-d56edff2a48b','UId':'38610ebe-9b8a-4309-b7c2-3110b15b2b5d','Col':6,'Row':60,'ColDynamic':6,'RowDynamic':59,'Format':'numberic','Value':'37984847186','TargetCode':''}</v>
      </c>
    </row>
    <row r="501" spans="1:1">
      <c r="A501" t="str">
        <f>CONCATENATE("{'SheetId':'97f94cc4-2cf1-490f-9992-d56edff2a48b'",",","'UId':'745905bb-4e76-44d5-861b-a752d05e1015'",",'Col':",COLUMN(BCDMDT_06108!G60),",'Row':",ROW(BCDMDT_06108!G60),",","'ColDynamic':",COLUMN(BCDMDT_06108!G59),",","'RowDynamic':",ROW(BCDMDT_06108!G59),",","'Format':'numberic'",",'Value':'",SUBSTITUTE(BCDMDT_06108!G60,"'","\'"),"','TargetCode':''}")</f>
        <v>{'SheetId':'97f94cc4-2cf1-490f-9992-d56edff2a48b','UId':'745905bb-4e76-44d5-861b-a752d05e1015','Col':7,'Row':60,'ColDynamic':7,'RowDynamic':59,'Format':'numberic','Value':'0.093733000136941','TargetCode':''}</v>
      </c>
    </row>
    <row r="502" spans="1:1">
      <c r="A502" t="e">
        <f>CONCATENATE("{'SheetId':'97f94cc4-2cf1-490f-9992-d56edff2a48b'",",","'UId':'ba304c12-e7bb-4492-a411-67aeda462538'",",'Col':",COLUMN(BCDMDT_06108!#REF!),",'Row':",ROW(BCDMDT_06108!#REF!),",","'ColDynamic':",COLUMN(BCDMDT_06108!A61),",","'RowDynamic':",ROW(BCDMDT_06108!A61),",","'Format':'string'",",'Value':'",SUBSTITUTE(BCDMDT_06108!#REF!,"'","\'"),"','TargetCode':''}")</f>
        <v>#REF!</v>
      </c>
    </row>
    <row r="503" spans="1:1">
      <c r="A503" t="e">
        <f>CONCATENATE("{'SheetId':'97f94cc4-2cf1-490f-9992-d56edff2a48b'",",","'UId':'fe07c8b5-4d0a-48c2-b69a-c36dfc0d8639'",",'Col':",COLUMN(BCDMDT_06108!#REF!),",'Row':",ROW(BCDMDT_06108!#REF!),",","'ColDynamic':",COLUMN(BCDMDT_06108!B61),",","'RowDynamic':",ROW(BCDMDT_06108!B61),",","'Format':'string'",",'Value':'",SUBSTITUTE(BCDMDT_06108!#REF!,"'","\'"),"','TargetCode':''}")</f>
        <v>#REF!</v>
      </c>
    </row>
    <row r="504" spans="1:1">
      <c r="A504" t="e">
        <f>CONCATENATE("{'SheetId':'97f94cc4-2cf1-490f-9992-d56edff2a48b'",",","'UId':'95fe39c2-de30-4df1-add3-646d1235b621'",",'Col':",COLUMN(BCDMDT_06108!#REF!),",'Row':",ROW(BCDMDT_06108!#REF!),",","'ColDynamic':",COLUMN(BCDMDT_06108!C61),",","'RowDynamic':",ROW(BCDMDT_06108!C61),",","'Format':'string'",",'Value':'",SUBSTITUTE(BCDMDT_06108!#REF!,"'","\'"),"','TargetCode':''}")</f>
        <v>#REF!</v>
      </c>
    </row>
    <row r="505" spans="1:1">
      <c r="A505" t="e">
        <f>CONCATENATE("{'SheetId':'97f94cc4-2cf1-490f-9992-d56edff2a48b'",",","'UId':'64ade038-1439-4677-b751-5b2beb58acd0'",",'Col':",COLUMN(BCDMDT_06108!#REF!),",'Row':",ROW(BCDMDT_06108!#REF!),",","'ColDynamic':",COLUMN(BCDMDT_06108!D61),",","'RowDynamic':",ROW(BCDMDT_06108!D61),",","'Format':'numberic'",",'Value':'",SUBSTITUTE(BCDMDT_06108!#REF!,"'","\'"),"','TargetCode':''}")</f>
        <v>#REF!</v>
      </c>
    </row>
    <row r="506" spans="1:1">
      <c r="A506" t="e">
        <f>CONCATENATE("{'SheetId':'97f94cc4-2cf1-490f-9992-d56edff2a48b'",",","'UId':'ee34460a-dd81-4a8f-8529-2101f8dbaf7e'",",'Col':",COLUMN(BCDMDT_06108!#REF!),",'Row':",ROW(BCDMDT_06108!#REF!),",","'ColDynamic':",COLUMN(BCDMDT_06108!E61),",","'RowDynamic':",ROW(BCDMDT_06108!E61),",","'Format':'numberic'",",'Value':'",SUBSTITUTE(BCDMDT_06108!#REF!,"'","\'"),"','TargetCode':''}")</f>
        <v>#REF!</v>
      </c>
    </row>
    <row r="507" spans="1:1">
      <c r="A507" t="e">
        <f>CONCATENATE("{'SheetId':'97f94cc4-2cf1-490f-9992-d56edff2a48b'",",","'UId':'8aec7324-8930-484d-b27a-ac318204e770'",",'Col':",COLUMN(BCDMDT_06108!#REF!),",'Row':",ROW(BCDMDT_06108!#REF!),",","'ColDynamic':",COLUMN(BCDMDT_06108!F61),",","'RowDynamic':",ROW(BCDMDT_06108!F61),",","'Format':'numberic'",",'Value':'",SUBSTITUTE(BCDMDT_06108!#REF!,"'","\'"),"','TargetCode':''}")</f>
        <v>#REF!</v>
      </c>
    </row>
    <row r="508" spans="1:1">
      <c r="A508" t="e">
        <f>CONCATENATE("{'SheetId':'97f94cc4-2cf1-490f-9992-d56edff2a48b'",",","'UId':'04bb4ce5-a5db-4f79-97e1-5b2d2863fcc0'",",'Col':",COLUMN(BCDMDT_06108!#REF!),",'Row':",ROW(BCDMDT_06108!#REF!),",","'ColDynamic':",COLUMN(BCDMDT_06108!G61),",","'RowDynamic':",ROW(BCDMDT_06108!G61),",","'Format':'numberic'",",'Value':'",SUBSTITUTE(BCDMDT_06108!#REF!,"'","\'"),"','TargetCode':''}")</f>
        <v>#REF!</v>
      </c>
    </row>
    <row r="509" spans="1:1">
      <c r="A509" t="e">
        <f>CONCATENATE("{'SheetId':'97f94cc4-2cf1-490f-9992-d56edff2a48b'",",","'UId':'fc898edd-d60f-4260-bb15-9585358bc82d'",",'Col':",COLUMN(BCDMDT_06108!#REF!),",'Row':",ROW(BCDMDT_06108!#REF!),",","'Format':'numberic'",",'Value':'",SUBSTITUTE(BCDMDT_06108!#REF!,"'","\'"),"','TargetCode':''}")</f>
        <v>#REF!</v>
      </c>
    </row>
    <row r="510" spans="1:1">
      <c r="A510" t="e">
        <f>CONCATENATE("{'SheetId':'97f94cc4-2cf1-490f-9992-d56edff2a48b'",",","'UId':'97e826f4-0f91-4232-af23-59168daf6190'",",'Col':",COLUMN(BCDMDT_06108!#REF!),",'Row':",ROW(BCDMDT_06108!#REF!),",","'Format':'numberic'",",'Value':'",SUBSTITUTE(BCDMDT_06108!#REF!,"'","\'"),"','TargetCode':''}")</f>
        <v>#REF!</v>
      </c>
    </row>
    <row r="511" spans="1:1">
      <c r="A511" t="e">
        <f>CONCATENATE("{'SheetId':'97f94cc4-2cf1-490f-9992-d56edff2a48b'",",","'UId':'32f6d956-e560-4f40-88b5-30477b33740a'",",'Col':",COLUMN(BCDMDT_06108!#REF!),",'Row':",ROW(BCDMDT_06108!#REF!),",","'Format':'numberic'",",'Value':'",SUBSTITUTE(BCDMDT_06108!#REF!,"'","\'"),"','TargetCode':''}")</f>
        <v>#REF!</v>
      </c>
    </row>
    <row r="512" spans="1:1">
      <c r="A512" t="e">
        <f>CONCATENATE("{'SheetId':'97f94cc4-2cf1-490f-9992-d56edff2a48b'",",","'UId':'248f4055-e444-483d-bfbc-765aa7a5cc9e'",",'Col':",COLUMN(BCDMDT_06108!#REF!),",'Row':",ROW(BCDMDT_06108!#REF!),",","'Format':'numberic'",",'Value':'",SUBSTITUTE(BCDMDT_06108!#REF!,"'","\'"),"','TargetCode':''}")</f>
        <v>#REF!</v>
      </c>
    </row>
    <row r="513" spans="1:1">
      <c r="A513"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514" spans="1:1">
      <c r="A514"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515" spans="1:1">
      <c r="A515"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516" spans="1:1">
      <c r="A516"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517" spans="1:1">
      <c r="A517"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{'SheetId':'3d9f5a69-09d2-47bf-918c-13651271f903','UId':'502b0c65-f858-42b1-a43d-38e258167d7f','Col':4,'Row':3,'Format':'numberic','Value':'41676627745','TargetCode':''}</v>
      </c>
    </row>
    <row r="518" spans="1:1">
      <c r="A518"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{'SheetId':'3d9f5a69-09d2-47bf-918c-13651271f903','UId':'522040fa-deb2-4565-be8c-81c67dc50ed5','Col':5,'Row':3,'Format':'numberic','Value':'-11554846096','TargetCode':''}</v>
      </c>
    </row>
    <row r="519" spans="1:1">
      <c r="A519"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520" spans="1:1">
      <c r="A520"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{'SheetId':'3d9f5a69-09d2-47bf-918c-13651271f903','UId':'91882236-93f8-48dc-97d7-999248002a13','Col':4,'Row':4,'Format':'numberic','Value':'-37758602610','TargetCode':''}</v>
      </c>
    </row>
    <row r="521" spans="1:1">
      <c r="A521"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{'SheetId':'3d9f5a69-09d2-47bf-918c-13651271f903','UId':'978dd67c-d3f6-4513-be62-d4bec6909cd2','Col':5,'Row':4,'Format':'numberic','Value':'8235991069','TargetCode':''}</v>
      </c>
    </row>
    <row r="522" spans="1:1">
      <c r="A522"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523" spans="1:1">
      <c r="A523"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{'SheetId':'3d9f5a69-09d2-47bf-918c-13651271f903','UId':'18a7025c-d558-4391-9bb9-fc345d1c3987','Col':4,'Row':5,'Format':'numberic','Value':'-37831002610','TargetCode':''}</v>
      </c>
    </row>
    <row r="524" spans="1:1">
      <c r="A524"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{'SheetId':'3d9f5a69-09d2-47bf-918c-13651271f903','UId':'13980df1-1263-4126-ac90-4bab8738fb04','Col':5,'Row':5,'Format':'numberic','Value':'8272138610','TargetCode':''}</v>
      </c>
    </row>
    <row r="525" spans="1:1">
      <c r="A525"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526" spans="1:1">
      <c r="A526"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{'SheetId':'3d9f5a69-09d2-47bf-918c-13651271f903','UId':'ffe2ab86-b969-4383-a3ed-bae66a2b4453','Col':4,'Row':6,'Format':'numberic','Value':'72400000','TargetCode':''}</v>
      </c>
    </row>
    <row r="527" spans="1:1">
      <c r="A527"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{'SheetId':'3d9f5a69-09d2-47bf-918c-13651271f903','UId':'3b90323c-1658-48f8-8539-d3e693f8efd7','Col':5,'Row':6,'Format':'numberic','Value':'-36147541','TargetCode':''}</v>
      </c>
    </row>
    <row r="528" spans="1:1">
      <c r="A528"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529" spans="1:1">
      <c r="A529"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{'SheetId':'3d9f5a69-09d2-47bf-918c-13651271f903','UId':'73c1a238-34dd-4ed6-a18d-a7d10112ea10','Col':4,'Row':7,'Format':'numberic','Value':'3918025135','TargetCode':''}</v>
      </c>
    </row>
    <row r="530" spans="1:1">
      <c r="A530"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{'SheetId':'3d9f5a69-09d2-47bf-918c-13651271f903','UId':'b954be3c-a901-481d-8256-11b668991df2','Col':5,'Row':7,'Format':'numberic','Value':'-3318855027','TargetCode':''}</v>
      </c>
    </row>
    <row r="531" spans="1:1">
      <c r="A531"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532" spans="1:1">
      <c r="A532"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{'SheetId':'3d9f5a69-09d2-47bf-918c-13651271f903','UId':'4603edaf-3927-4b70-8516-b492bc9b450f','Col':4,'Row':8,'Format':'numberic','Value':'-256510152740','TargetCode':''}</v>
      </c>
    </row>
    <row r="533" spans="1:1">
      <c r="A533"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{'SheetId':'3d9f5a69-09d2-47bf-918c-13651271f903','UId':'0f6d4932-e6b4-4701-830e-884e994eb0c4','Col':5,'Row':8,'Format':'numberic','Value':'-4905457610','TargetCode':''}</v>
      </c>
    </row>
    <row r="534" spans="1:1">
      <c r="A534"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535" spans="1:1">
      <c r="A535"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{'SheetId':'3d9f5a69-09d2-47bf-918c-13651271f903','UId':'23d17f59-4db4-4737-8e7d-e886c6c6f5aa','Col':4,'Row':9,'Format':'numberic','Value':'3654928380','TargetCode':''}</v>
      </c>
    </row>
    <row r="536" spans="1:1">
      <c r="A536"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{'SheetId':'3d9f5a69-09d2-47bf-918c-13651271f903','UId':'4f862de9-af92-4ef3-866e-01a43340357d','Col':5,'Row':9,'Format':'numberic','Value':'-485668391','TargetCode':''}</v>
      </c>
    </row>
    <row r="537" spans="1:1">
      <c r="A537"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538" spans="1:1">
      <c r="A538"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{'SheetId':'3d9f5a69-09d2-47bf-918c-13651271f903','UId':'7294f050-f61e-4323-8f24-655a4c134817','Col':4,'Row':10,'Format':'numberic','Value':'-210656000','TargetCode':''}</v>
      </c>
    </row>
    <row r="539" spans="1:1">
      <c r="A539"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{'SheetId':'3d9f5a69-09d2-47bf-918c-13651271f903','UId':'07f69c92-abf4-43e6-99e1-47a7a8aefd66','Col':5,'Row':10,'Format':'numberic','Value':'271958248','TargetCode':''}</v>
      </c>
    </row>
    <row r="540" spans="1:1">
      <c r="A540"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541" spans="1:1">
      <c r="A541"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{'SheetId':'3d9f5a69-09d2-47bf-918c-13651271f903','UId':'d0b824aa-b664-4673-a96c-a220e8d1a35f','Col':4,'Row':11,'Format':'numberic','Value':'724825501','TargetCode':''}</v>
      </c>
    </row>
    <row r="542" spans="1:1">
      <c r="A542"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{'SheetId':'3d9f5a69-09d2-47bf-918c-13651271f903','UId':'56610dd1-1aca-47dc-81eb-8061829e616a','Col':5,'Row':11,'Format':'numberic','Value':'616351595','TargetCode':''}</v>
      </c>
    </row>
    <row r="543" spans="1:1">
      <c r="A543"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544" spans="1:1">
      <c r="A544"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545" spans="1:1">
      <c r="A545"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546" spans="1:1">
      <c r="A546"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547" spans="1:1">
      <c r="A547"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{'SheetId':'3d9f5a69-09d2-47bf-918c-13651271f903','UId':'afa714d6-d73f-4f60-a282-7a22390517e0','Col':4,'Row':13,'Format':'numberic','Value':'0','TargetCode':''}</v>
      </c>
    </row>
    <row r="548" spans="1:1">
      <c r="A548"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{'SheetId':'3d9f5a69-09d2-47bf-918c-13651271f903','UId':'8631a240-c850-4a7f-b816-08564f906400','Col':5,'Row':13,'Format':'numberic','Value':'0','TargetCode':''}</v>
      </c>
    </row>
    <row r="549" spans="1:1">
      <c r="A549"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550" spans="1:1">
      <c r="A550"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{'SheetId':'3d9f5a69-09d2-47bf-918c-13651271f903','UId':'baaeff25-ed58-4805-8b78-fbb0b659d150','Col':4,'Row':14,'Format':'numberic','Value':'456927429','TargetCode':''}</v>
      </c>
    </row>
    <row r="551" spans="1:1">
      <c r="A551"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{'SheetId':'3d9f5a69-09d2-47bf-918c-13651271f903','UId':'de431fc7-efd0-4d61-8bd7-0a4b5bf3c76a','Col':5,'Row':14,'Format':'numberic','Value':'5869966','TargetCode':''}</v>
      </c>
    </row>
    <row r="552" spans="1:1">
      <c r="A552"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553" spans="1:1">
      <c r="A553"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554" spans="1:1">
      <c r="A554"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555" spans="1:1">
      <c r="A555"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556" spans="1:1">
      <c r="A556"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{'SheetId':'3d9f5a69-09d2-47bf-918c-13651271f903','UId':'4b839341-0732-4737-bb64-1197a2c916fe','Col':4,'Row':16,'Format':'numberic','Value':'34594106','TargetCode':''}</v>
      </c>
    </row>
    <row r="557" spans="1:1">
      <c r="A557"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{'SheetId':'3d9f5a69-09d2-47bf-918c-13651271f903','UId':'dbec0dd9-271a-47c1-8eff-dae8103338ff','Col':5,'Row':16,'Format':'numberic','Value':'1005791','TargetCode':''}</v>
      </c>
    </row>
    <row r="558" spans="1:1">
      <c r="A558"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559" spans="1:1">
      <c r="A559"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{'SheetId':'3d9f5a69-09d2-47bf-918c-13651271f903','UId':'e0de7cd1-63e3-4981-9320-ab5b3577409d','Col':4,'Row':17,'Format':'numberic','Value':'4637751333','TargetCode':''}</v>
      </c>
    </row>
    <row r="560" spans="1:1">
      <c r="A560"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{'SheetId':'3d9f5a69-09d2-47bf-918c-13651271f903','UId':'ffce13a4-03ae-4932-a59b-eb24a71ffd97','Col':5,'Row':17,'Format':'numberic','Value':'143459363','TargetCode':''}</v>
      </c>
    </row>
    <row r="561" spans="1:1">
      <c r="A561"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562" spans="1:1">
      <c r="A562"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{'SheetId':'3d9f5a69-09d2-47bf-918c-13651271f903','UId':'822e93a7-96a5-404c-ba37-12051d458643','Col':4,'Row':18,'Format':'numberic','Value':'1562850173','TargetCode':''}</v>
      </c>
    </row>
    <row r="563" spans="1:1">
      <c r="A563"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{'SheetId':'3d9f5a69-09d2-47bf-918c-13651271f903','UId':'25c05d3e-33c2-4033-9401-21bc2549abad','Col':5,'Row':18,'Format':'numberic','Value':'-52195095','TargetCode':''}</v>
      </c>
    </row>
    <row r="564" spans="1:1">
      <c r="A564"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565" spans="1:1">
      <c r="A565"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{'SheetId':'3d9f5a69-09d2-47bf-918c-13651271f903','UId':'61d5df60-7115-4dce-b16e-228e18d079c5','Col':4,'Row':19,'Format':'numberic','Value':'0','TargetCode':''}</v>
      </c>
    </row>
    <row r="566" spans="1:1">
      <c r="A566"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{'SheetId':'3d9f5a69-09d2-47bf-918c-13651271f903','UId':'d518b108-bc43-4df9-af2f-32c889563143','Col':5,'Row':19,'Format':'numberic','Value':'0','TargetCode':''}</v>
      </c>
    </row>
    <row r="567" spans="1:1">
      <c r="A567"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568" spans="1:1">
      <c r="A568"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{'SheetId':'3d9f5a69-09d2-47bf-918c-13651271f903','UId':'c1811a2b-f605-43cb-add8-783e2fa63b73','Col':4,'Row':20,'Format':'numberic','Value':'142419572','TargetCode':''}</v>
      </c>
    </row>
    <row r="569" spans="1:1">
      <c r="A569"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{'SheetId':'3d9f5a69-09d2-47bf-918c-13651271f903','UId':'3582a546-2d6e-4889-a081-16929b7f527e','Col':5,'Row':20,'Format':'numberic','Value':'68632215','TargetCode':''}</v>
      </c>
    </row>
    <row r="570" spans="1:1">
      <c r="A570"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571" spans="1:1">
      <c r="A571"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572" spans="1:1">
      <c r="A572"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573" spans="1:1">
      <c r="A573"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574" spans="1:1">
      <c r="A574"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{'SheetId':'3d9f5a69-09d2-47bf-918c-13651271f903','UId':'8c8b69f1-cc40-4b54-90df-311c78ba4148','Col':4,'Row':22,'Format':'numberic','Value':'-241588487111','TargetCode':''}</v>
      </c>
    </row>
    <row r="575" spans="1:1">
      <c r="A575"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{'SheetId':'3d9f5a69-09d2-47bf-918c-13651271f903','UId':'fd606e9b-ec43-41fb-b336-0441e41cb06e','Col':5,'Row':22,'Format':'numberic','Value':'-7654898945','TargetCode':''}</v>
      </c>
    </row>
    <row r="576" spans="1:1">
      <c r="A576"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577" spans="1:1">
      <c r="A577"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578" spans="1:1">
      <c r="A578"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579" spans="1:1">
      <c r="A579"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580" spans="1:1">
      <c r="A580"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{'SheetId':'3d9f5a69-09d2-47bf-918c-13651271f903','UId':'2a1e2106-f27f-4229-8849-6edebf11f81b','Col':4,'Row':24,'Format':'numberic','Value':'417332911827','TargetCode':''}</v>
      </c>
    </row>
    <row r="581" spans="1:1">
      <c r="A581"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{'SheetId':'3d9f5a69-09d2-47bf-918c-13651271f903','UId':'381baae0-c231-4083-bf49-2c02091221bc','Col':5,'Row':24,'Format':'numberic','Value':'6355990295','TargetCode':''}</v>
      </c>
    </row>
    <row r="582" spans="1:1">
      <c r="A582"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583" spans="1:1">
      <c r="A583"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{'SheetId':'3d9f5a69-09d2-47bf-918c-13651271f903','UId':'669fbaaf-c2d8-42dc-a8b4-e1f66f141999','Col':4,'Row':25,'Format':'numberic','Value':'-144468858957','TargetCode':''}</v>
      </c>
    </row>
    <row r="584" spans="1:1">
      <c r="A584"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{'SheetId':'3d9f5a69-09d2-47bf-918c-13651271f903','UId':'e4c1b16f-6ea0-4630-aa13-65a69406ba9d','Col':5,'Row':25,'Format':'numberic','Value':'-17386427325','TargetCode':''}</v>
      </c>
    </row>
    <row r="585" spans="1:1">
      <c r="A585"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586" spans="1:1">
      <c r="A586"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587" spans="1:1">
      <c r="A587"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588" spans="1:1">
      <c r="A588"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589" spans="1:1">
      <c r="A589"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590" spans="1:1">
      <c r="A590"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591" spans="1:1">
      <c r="A591"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592" spans="1:1">
      <c r="A592"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593" spans="1:1">
      <c r="A593"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594" spans="1:1">
      <c r="A594"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595" spans="1:1">
      <c r="A595"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{'SheetId':'3d9f5a69-09d2-47bf-918c-13651271f903','UId':'364d4b5f-931b-4e2e-b306-3e2bca7bd302','Col':4,'Row':29,'Format':'numberic','Value':'272864052870','TargetCode':''}</v>
      </c>
    </row>
    <row r="596" spans="1:1">
      <c r="A596"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{'SheetId':'3d9f5a69-09d2-47bf-918c-13651271f903','UId':'03a2814e-1dc1-43d3-a4e6-9e1c45481715','Col':5,'Row':29,'Format':'numberic','Value':'-11030437030','TargetCode':''}</v>
      </c>
    </row>
    <row r="597" spans="1:1">
      <c r="A597"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598" spans="1:1">
      <c r="A598"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{'SheetId':'3d9f5a69-09d2-47bf-918c-13651271f903','UId':'64a93857-2847-4c7d-9a4f-3f4c6517ccec','Col':4,'Row':30,'Format':'numberic','Value':'31275565759','TargetCode':''}</v>
      </c>
    </row>
    <row r="599" spans="1:1">
      <c r="A599"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{'SheetId':'3d9f5a69-09d2-47bf-918c-13651271f903','UId':'5342f60c-da65-407d-a686-1b051c511b91','Col':5,'Row':30,'Format':'numberic','Value':'-18685335975','TargetCode':''}</v>
      </c>
    </row>
    <row r="600" spans="1:1">
      <c r="A600"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601" spans="1:1">
      <c r="A601"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{'SheetId':'3d9f5a69-09d2-47bf-918c-13651271f903','UId':'2d1f1cf5-3c15-410f-bd30-0da2acf97536','Col':4,'Row':31,'Format':'numberic','Value':'6709281427','TargetCode':''}</v>
      </c>
    </row>
    <row r="602" spans="1:1">
      <c r="A602"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{'SheetId':'3d9f5a69-09d2-47bf-918c-13651271f903','UId':'b422aad8-8b82-43c4-b447-ddbb90b52424','Col':5,'Row':31,'Format':'numberic','Value':'29932893119','TargetCode':''}</v>
      </c>
    </row>
    <row r="603" spans="1:1">
      <c r="A603"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604" spans="1:1">
      <c r="A604"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{'SheetId':'3d9f5a69-09d2-47bf-918c-13651271f903','UId':'0e4a6a39-71f5-4a94-9aa5-65f8fdbfaa82','Col':4,'Row':32,'Format':'numberic','Value':'6709281427','TargetCode':''}</v>
      </c>
    </row>
    <row r="605" spans="1:1">
      <c r="A605"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{'SheetId':'3d9f5a69-09d2-47bf-918c-13651271f903','UId':'1b4a4b14-6a5c-473a-a459-5270c10ded8d','Col':5,'Row':32,'Format':'numberic','Value':'29932893119','TargetCode':''}</v>
      </c>
    </row>
    <row r="606" spans="1:1">
      <c r="A606"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607" spans="1:1">
      <c r="A607"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{'SheetId':'3d9f5a69-09d2-47bf-918c-13651271f903','UId':'432951a7-5473-446e-807c-3dd7ccf3bb6e','Col':4,'Row':33,'Format':'numberic','Value':'3330504907','TargetCode':''}</v>
      </c>
    </row>
    <row r="608" spans="1:1">
      <c r="A608"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{'SheetId':'3d9f5a69-09d2-47bf-918c-13651271f903','UId':'bacc9565-ffff-4501-a884-c8d4d47a6dcb','Col':5,'Row':33,'Format':'numberic','Value':'29866611725','TargetCode':''}</v>
      </c>
    </row>
    <row r="609" spans="1:1">
      <c r="A609"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610" spans="1:1">
      <c r="A610"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{'SheetId':'3d9f5a69-09d2-47bf-918c-13651271f903','UId':'fd8c3047-89a9-4927-94c5-ae426a227303','Col':4,'Row':34,'Format':'numberic','Value':'3330504907','TargetCode':''}</v>
      </c>
    </row>
    <row r="611" spans="1:1">
      <c r="A611"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{'SheetId':'3d9f5a69-09d2-47bf-918c-13651271f903','UId':'84b630d0-23c5-43d7-8937-a5b67f9df5c1','Col':5,'Row':34,'Format':'numberic','Value':'16366611725','TargetCode':''}</v>
      </c>
    </row>
    <row r="612" spans="1:1">
      <c r="A612"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613" spans="1:1">
      <c r="A613"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{'SheetId':'3d9f5a69-09d2-47bf-918c-13651271f903','UId':'b1f5f877-47e7-4c2f-ad12-0105bb9ca245','Col':4,'Row':35,'Format':'numberic','Value':'0','TargetCode':''}</v>
      </c>
    </row>
    <row r="614" spans="1:1">
      <c r="A614"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{'SheetId':'3d9f5a69-09d2-47bf-918c-13651271f903','UId':'1deb36df-dfc9-41ce-a44f-01a697cf5824','Col':5,'Row':35,'Format':'numberic','Value':'13500000000','TargetCode':''}</v>
      </c>
    </row>
    <row r="615" spans="1:1">
      <c r="A615"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616" spans="1:1">
      <c r="A616"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{'SheetId':'3d9f5a69-09d2-47bf-918c-13651271f903','UId':'9a8e209d-5f06-407b-a1ff-09e031301027','Col':4,'Row':36,'Format':'numberic','Value':'0','TargetCode':''}</v>
      </c>
    </row>
    <row r="617" spans="1:1">
      <c r="A617"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{'SheetId':'3d9f5a69-09d2-47bf-918c-13651271f903','UId':'27d3ccfa-ee82-45ac-8782-fcf1e4668812','Col':5,'Row':36,'Format':'numberic','Value':'0','TargetCode':''}</v>
      </c>
    </row>
    <row r="618" spans="1:1">
      <c r="A618"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619" spans="1:1">
      <c r="A619"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{'SheetId':'3d9f5a69-09d2-47bf-918c-13651271f903','UId':'2e6dd567-0d51-415f-a43b-47b68ee70304','Col':4,'Row':37,'Format':'numberic','Value':'3378776520','TargetCode':''}</v>
      </c>
    </row>
    <row r="620" spans="1:1">
      <c r="A620"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{'SheetId':'3d9f5a69-09d2-47bf-918c-13651271f903','UId':'5aca5568-0da5-43d9-b612-b5efe71c8c8c','Col':5,'Row':37,'Format':'numberic','Value':'66281394','TargetCode':''}</v>
      </c>
    </row>
    <row r="621" spans="1:1">
      <c r="A621"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622" spans="1:1">
      <c r="A622"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{'SheetId':'3d9f5a69-09d2-47bf-918c-13651271f903','UId':'84b32707-fbb2-441a-9b8c-93e209b9d1fa','Col':4,'Row':38,'Format':'numberic','Value':'0','TargetCode':''}</v>
      </c>
    </row>
    <row r="623" spans="1:1">
      <c r="A623"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{'SheetId':'3d9f5a69-09d2-47bf-918c-13651271f903','UId':'c783027b-fb1b-4cac-865e-9749eefa4f6a','Col':5,'Row':38,'Format':'numberic','Value':'0','TargetCode':''}</v>
      </c>
    </row>
    <row r="624" spans="1:1">
      <c r="A624"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625" spans="1:1">
      <c r="A625"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{'SheetId':'3d9f5a69-09d2-47bf-918c-13651271f903','UId':'c5b0f87f-379c-44bd-8ec8-f0c52ff33516','Col':4,'Row':39,'Format':'numberic','Value':'37984847186','TargetCode':''}</v>
      </c>
    </row>
    <row r="626" spans="1:1">
      <c r="A626"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{'SheetId':'3d9f5a69-09d2-47bf-918c-13651271f903','UId':'3f3974e6-35b4-4547-987d-1a6f639e965c','Col':5,'Row':39,'Format':'numberic','Value':'11247557144','TargetCode':''}</v>
      </c>
    </row>
    <row r="627" spans="1:1">
      <c r="A627"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628" spans="1:1">
      <c r="A628"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{'SheetId':'3d9f5a69-09d2-47bf-918c-13651271f903','UId':'e9669dd7-8457-4fe7-adac-3aef8b5257e8','Col':4,'Row':40,'Format':'numberic','Value':'37984847186','TargetCode':''}</v>
      </c>
    </row>
    <row r="629" spans="1:1">
      <c r="A629"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{'SheetId':'3d9f5a69-09d2-47bf-918c-13651271f903','UId':'5801bdd1-7207-4361-a2fe-e0850a073e72','Col':5,'Row':40,'Format':'numberic','Value':'11247557144','TargetCode':''}</v>
      </c>
    </row>
    <row r="630" spans="1:1">
      <c r="A630"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631" spans="1:1">
      <c r="A631"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{'SheetId':'3d9f5a69-09d2-47bf-918c-13651271f903','UId':'2f5d0db8-39ea-4e7a-9b1b-3d9a12f11643','Col':4,'Row':41,'Format':'numberic','Value':'24244189710','TargetCode':''}</v>
      </c>
    </row>
    <row r="632" spans="1:1">
      <c r="A632"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{'SheetId':'3d9f5a69-09d2-47bf-918c-13651271f903','UId':'d9146d17-7026-49b4-90c3-4bfb0f10f155','Col':5,'Row':41,'Format':'numberic','Value':'10889180537','TargetCode':''}</v>
      </c>
    </row>
    <row r="633" spans="1:1">
      <c r="A633"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634" spans="1:1">
      <c r="A634"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{'SheetId':'3d9f5a69-09d2-47bf-918c-13651271f903','UId':'5e1aa346-70e1-46a3-b0ae-72adda8ef884','Col':4,'Row':42,'Format':'numberic','Value':'24244189710','TargetCode':''}</v>
      </c>
    </row>
    <row r="635" spans="1:1">
      <c r="A635"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{'SheetId':'3d9f5a69-09d2-47bf-918c-13651271f903','UId':'3ac668ad-f8b1-4daf-9a63-4816a7e484e4','Col':5,'Row':42,'Format':'numberic','Value':'6389180537','TargetCode':''}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pYDYuR8d3J3O5sbI7i57xYs6/N0=</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A10cakaJbU6insJW4cC9ztFy+uo=</DigestValue>
    </Reference>
  </SignedInfo>
  <SignatureValue>EES90Ud9ZqHCo+UY8cqIyUPbhJf8w86IPKhKvfBPD12b3LsHO0E8sakE4Pf+BvsQjkiZLzgdoiEF
FfsNNnP8tXPXUn6V7ZMESZS4BxOd+0CyL2JXJZ5S/WL1CGfA81L6pRAVQG7+CETXj0RzQtzpFtDI
+67gCvDwqt+cpagPJaI=</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WRsP2Trk+h7KgLiVcEUae9rLBhM=</DigestValue>
      </Reference>
      <Reference URI="/xl/comments1.xml?ContentType=application/vnd.openxmlformats-officedocument.spreadsheetml.comments+xml">
        <DigestMethod Algorithm="http://www.w3.org/2000/09/xmldsig#sha1"/>
        <DigestValue>qCJ5RLjIOPbzJWqWIu94VmPtSIs=</DigestValue>
      </Reference>
      <Reference URI="/xl/drawings/vmlDrawing1.vml?ContentType=application/vnd.openxmlformats-officedocument.vmlDrawing">
        <DigestMethod Algorithm="http://www.w3.org/2000/09/xmldsig#sha1"/>
        <DigestValue>OgqlMZXTTAQKzpx6g/sKjrtG+t8=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66u4Qhlx8El6H6wZVQhFKLYR8rI=</DigestValue>
      </Reference>
      <Reference URI="/xl/styles.xml?ContentType=application/vnd.openxmlformats-officedocument.spreadsheetml.styles+xml">
        <DigestMethod Algorithm="http://www.w3.org/2000/09/xmldsig#sha1"/>
        <DigestValue>/lt9iuA6eDQg02Qw2dabLkwFsTs=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mspkkb4YJLfYoDWGw7YGnndqsws=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H9CijRLRxdr/rpolby9F13vN5Sk=</DigestValue>
      </Reference>
      <Reference URI="/xl/worksheets/sheet2.xml?ContentType=application/vnd.openxmlformats-officedocument.spreadsheetml.worksheet+xml">
        <DigestMethod Algorithm="http://www.w3.org/2000/09/xmldsig#sha1"/>
        <DigestValue>YPyfKW7D5YmD+VF4biO+ENEtbw8=</DigestValue>
      </Reference>
      <Reference URI="/xl/worksheets/sheet3.xml?ContentType=application/vnd.openxmlformats-officedocument.spreadsheetml.worksheet+xml">
        <DigestMethod Algorithm="http://www.w3.org/2000/09/xmldsig#sha1"/>
        <DigestValue>CZzvVeECw3QrrJND9EFrDxZPGOE=</DigestValue>
      </Reference>
      <Reference URI="/xl/worksheets/sheet4.xml?ContentType=application/vnd.openxmlformats-officedocument.spreadsheetml.worksheet+xml">
        <DigestMethod Algorithm="http://www.w3.org/2000/09/xmldsig#sha1"/>
        <DigestValue>CJSBiT6+uLEF8nKLiCIM9iMX7jg=</DigestValue>
      </Reference>
      <Reference URI="/xl/worksheets/sheet5.xml?ContentType=application/vnd.openxmlformats-officedocument.spreadsheetml.worksheet+xml">
        <DigestMethod Algorithm="http://www.w3.org/2000/09/xmldsig#sha1"/>
        <DigestValue>qA/wVFajgJDbVDO0dMgDjNgDtXA=</DigestValue>
      </Reference>
      <Reference URI="/xl/worksheets/sheet6.xml?ContentType=application/vnd.openxmlformats-officedocument.spreadsheetml.worksheet+xml">
        <DigestMethod Algorithm="http://www.w3.org/2000/09/xmldsig#sha1"/>
        <DigestValue>MtN8TxTCyg+v+dpufIy8rOyjJf4=</DigestValue>
      </Reference>
      <Reference URI="/xl/worksheets/sheet7.xml?ContentType=application/vnd.openxmlformats-officedocument.spreadsheetml.worksheet+xml">
        <DigestMethod Algorithm="http://www.w3.org/2000/09/xmldsig#sha1"/>
        <DigestValue>VoUclQ+OEgU2DAAqJz+VA7XAknU=</DigestValue>
      </Reference>
      <Reference URI="/xl/worksheets/sheet8.xml?ContentType=application/vnd.openxmlformats-officedocument.spreadsheetml.worksheet+xml">
        <DigestMethod Algorithm="http://www.w3.org/2000/09/xmldsig#sha1"/>
        <DigestValue>jmVewzJKDfK8aDvHiJuk1UkJG8Q=</DigestValue>
      </Reference>
    </Manifest>
    <SignatureProperties>
      <SignatureProperty Id="idSignatureTime" Target="#idPackageSignature">
        <mdssi:SignatureTime xmlns:mdssi="http://schemas.openxmlformats.org/package/2006/digital-signature">
          <mdssi:Format>YYYY-MM-DDThh:mm:ssTZD</mdssi:Format>
          <mdssi:Value>2021-07-28T12:34:31Z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2021-07-28T12:34:31Z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BCThuNhap_06203</vt:lpstr>
      <vt:lpstr>BCTinhHinhTaiChinh_06105</vt:lpstr>
      <vt:lpstr>BCLCTT_06106</vt:lpstr>
      <vt:lpstr>GTTSRong_06107</vt:lpstr>
      <vt:lpstr>BCDMDT_06108</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Nguyen1, Hoang</cp:lastModifiedBy>
  <dcterms:created xsi:type="dcterms:W3CDTF">2021-07-27T11:48:20Z</dcterms:created>
  <dcterms:modified xsi:type="dcterms:W3CDTF">2021-07-28T12:30:57Z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iteId">
    <vt:lpwstr>b44900f1-2def-4c3b-9ec6-9020d604e19e</vt:lpwstr>
  </property>
  <property fmtid="{D5CDD505-2E9C-101B-9397-08002B2CF9AE}" pid="6" name="MSIP_Label_ebbfc019-7f88-4fb6-96d6-94ffadd4b772_Owner">
    <vt:lpwstr>1616876@zone1.scb.net</vt:lpwstr>
  </property>
  <property fmtid="{D5CDD505-2E9C-101B-9397-08002B2CF9AE}" pid="7" name="MSIP_Label_ebbfc019-7f88-4fb6-96d6-94ffadd4b772_SetDate">
    <vt:lpwstr>2021-07-27T11:47:40.6096472Z</vt:lpwstr>
  </property>
  <property fmtid="{D5CDD505-2E9C-101B-9397-08002B2CF9AE}" pid="8" name="MSIP_Label_ebbfc019-7f88-4fb6-96d6-94ffadd4b772_Name">
    <vt:lpwstr>Public</vt:lpwstr>
  </property>
  <property fmtid="{D5CDD505-2E9C-101B-9397-08002B2CF9AE}" pid="9" name="MSIP_Label_ebbfc019-7f88-4fb6-96d6-94ffadd4b772_Application">
    <vt:lpwstr>Microsoft Azure Information Protection</vt:lpwstr>
  </property>
  <property fmtid="{D5CDD505-2E9C-101B-9397-08002B2CF9AE}" pid="10" name="MSIP_Label_ebbfc019-7f88-4fb6-96d6-94ffadd4b772_ActionId">
    <vt:lpwstr>0c740d50-7066-4f9f-8584-71e9743bc0a6</vt:lpwstr>
  </property>
  <property fmtid="{D5CDD505-2E9C-101B-9397-08002B2CF9AE}" pid="11" name="MSIP_Label_ebbfc019-7f88-4fb6-96d6-94ffadd4b772_Extended_MSFT_Method">
    <vt:lpwstr>Manual</vt:lpwstr>
  </property>
  <property fmtid="{D5CDD505-2E9C-101B-9397-08002B2CF9AE}" pid="12" name="Sensitivity">
    <vt:lpwstr>Public</vt:lpwstr>
  </property>
</Properties>
</file>